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/>
  <mc:AlternateContent xmlns:mc="http://schemas.openxmlformats.org/markup-compatibility/2006">
    <mc:Choice Requires="x15">
      <x15ac:absPath xmlns:x15ac="http://schemas.microsoft.com/office/spreadsheetml/2010/11/ac" url="D:\Word\Writing\IRBook\"/>
    </mc:Choice>
  </mc:AlternateContent>
  <xr:revisionPtr revIDLastSave="0" documentId="13_ncr:1_{EB3B0377-B11B-4E12-92EE-6AE0E5291A97}" xr6:coauthVersionLast="43" xr6:coauthVersionMax="43" xr10:uidLastSave="{00000000-0000-0000-0000-000000000000}"/>
  <bookViews>
    <workbookView xWindow="-120" yWindow="-120" windowWidth="19440" windowHeight="15000" xr2:uid="{00000000-000D-0000-FFFF-FFFF00000000}"/>
  </bookViews>
  <sheets>
    <sheet name="Notes" sheetId="9" r:id="rId1"/>
    <sheet name="Proj" sheetId="1" r:id="rId2"/>
    <sheet name="Enroll" sheetId="2" r:id="rId3"/>
    <sheet name="Salary" sheetId="4" r:id="rId4"/>
    <sheet name="GraphSurplusAndDeficit" sheetId="10" r:id="rId5"/>
    <sheet name="GraphFTEProj" sheetId="3" r:id="rId6"/>
    <sheet name="GraphReturnRate" sheetId="5" r:id="rId7"/>
    <sheet name="GraphPctFullTime" sheetId="6" r:id="rId8"/>
    <sheet name="GraphNewFallHeads" sheetId="7" r:id="rId9"/>
    <sheet name="GraphHeadsToFTE" sheetId="8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61" i="2" l="1"/>
  <c r="G61" i="2" s="1"/>
  <c r="H61" i="2" s="1"/>
  <c r="I61" i="2" s="1"/>
  <c r="J61" i="2" s="1"/>
  <c r="K61" i="2" s="1"/>
  <c r="F60" i="2"/>
  <c r="G60" i="2" s="1"/>
  <c r="H60" i="2" s="1"/>
  <c r="I60" i="2" s="1"/>
  <c r="J60" i="2" s="1"/>
  <c r="K60" i="2" s="1"/>
  <c r="F21" i="4"/>
  <c r="G21" i="4" s="1"/>
  <c r="H21" i="4" s="1"/>
  <c r="I21" i="4" s="1"/>
  <c r="J21" i="4" s="1"/>
  <c r="K21" i="4" s="1"/>
  <c r="F20" i="4"/>
  <c r="G20" i="4" s="1"/>
  <c r="H20" i="4" s="1"/>
  <c r="I20" i="4" s="1"/>
  <c r="J20" i="4" s="1"/>
  <c r="K20" i="4" s="1"/>
  <c r="K2" i="4"/>
  <c r="J2" i="4"/>
  <c r="I2" i="4"/>
  <c r="H2" i="4"/>
  <c r="G2" i="4"/>
  <c r="F2" i="4"/>
  <c r="E2" i="4"/>
  <c r="D2" i="4"/>
  <c r="C2" i="4"/>
  <c r="B2" i="4"/>
  <c r="F1" i="4"/>
  <c r="E1" i="4"/>
  <c r="B1" i="4"/>
  <c r="A1" i="4"/>
  <c r="B1" i="2"/>
  <c r="E1" i="2"/>
  <c r="F1" i="2"/>
  <c r="B2" i="2"/>
  <c r="B53" i="2" s="1"/>
  <c r="C2" i="2"/>
  <c r="C53" i="2" s="1"/>
  <c r="D2" i="2"/>
  <c r="D53" i="2" s="1"/>
  <c r="E2" i="2"/>
  <c r="E53" i="2" s="1"/>
  <c r="F2" i="2"/>
  <c r="F53" i="2" s="1"/>
  <c r="G2" i="2"/>
  <c r="G53" i="2" s="1"/>
  <c r="H2" i="2"/>
  <c r="H53" i="2" s="1"/>
  <c r="I2" i="2"/>
  <c r="I53" i="2" s="1"/>
  <c r="J2" i="2"/>
  <c r="J53" i="2" s="1"/>
  <c r="K2" i="2"/>
  <c r="K53" i="2" s="1"/>
  <c r="A1" i="2"/>
  <c r="F25" i="4"/>
  <c r="F24" i="4"/>
  <c r="F11" i="4"/>
  <c r="G11" i="4" s="1"/>
  <c r="H11" i="4" s="1"/>
  <c r="I11" i="4" s="1"/>
  <c r="J11" i="4" s="1"/>
  <c r="K11" i="4" s="1"/>
  <c r="F12" i="4"/>
  <c r="G12" i="4" s="1"/>
  <c r="H12" i="4" s="1"/>
  <c r="I12" i="4" s="1"/>
  <c r="J12" i="4" s="1"/>
  <c r="K12" i="4" s="1"/>
  <c r="F13" i="4"/>
  <c r="G13" i="4" s="1"/>
  <c r="H13" i="4" s="1"/>
  <c r="I13" i="4" s="1"/>
  <c r="J13" i="4" s="1"/>
  <c r="K13" i="4" s="1"/>
  <c r="F14" i="4"/>
  <c r="G14" i="4" s="1"/>
  <c r="H14" i="4" s="1"/>
  <c r="I14" i="4" s="1"/>
  <c r="J14" i="4" s="1"/>
  <c r="K14" i="4" s="1"/>
  <c r="F10" i="4"/>
  <c r="G10" i="4" s="1"/>
  <c r="H10" i="4" s="1"/>
  <c r="I10" i="4" s="1"/>
  <c r="J10" i="4" s="1"/>
  <c r="K10" i="4" s="1"/>
  <c r="C39" i="1"/>
  <c r="D39" i="1"/>
  <c r="E39" i="1"/>
  <c r="F39" i="1"/>
  <c r="B39" i="1"/>
  <c r="F5" i="4"/>
  <c r="G5" i="4" s="1"/>
  <c r="H5" i="4" s="1"/>
  <c r="I5" i="4" s="1"/>
  <c r="J5" i="4" s="1"/>
  <c r="K5" i="4" s="1"/>
  <c r="F6" i="4"/>
  <c r="G6" i="4" s="1"/>
  <c r="H6" i="4" s="1"/>
  <c r="I6" i="4" s="1"/>
  <c r="J6" i="4" s="1"/>
  <c r="K6" i="4" s="1"/>
  <c r="F7" i="4"/>
  <c r="G7" i="4" s="1"/>
  <c r="H7" i="4" s="1"/>
  <c r="I7" i="4" s="1"/>
  <c r="J7" i="4" s="1"/>
  <c r="K7" i="4" s="1"/>
  <c r="F8" i="4"/>
  <c r="G8" i="4" s="1"/>
  <c r="H8" i="4" s="1"/>
  <c r="I8" i="4" s="1"/>
  <c r="J8" i="4" s="1"/>
  <c r="K8" i="4" s="1"/>
  <c r="F4" i="4"/>
  <c r="G4" i="4" s="1"/>
  <c r="H4" i="4" s="1"/>
  <c r="I4" i="4" s="1"/>
  <c r="J4" i="4" s="1"/>
  <c r="K4" i="4" s="1"/>
  <c r="D31" i="1"/>
  <c r="E31" i="1"/>
  <c r="D32" i="1"/>
  <c r="E32" i="1"/>
  <c r="C32" i="1"/>
  <c r="C31" i="1"/>
  <c r="C30" i="1"/>
  <c r="D30" i="1"/>
  <c r="E30" i="1"/>
  <c r="D29" i="1"/>
  <c r="E29" i="1"/>
  <c r="C29" i="1"/>
  <c r="C28" i="1"/>
  <c r="D28" i="1"/>
  <c r="E28" i="1"/>
  <c r="D27" i="1"/>
  <c r="E27" i="1"/>
  <c r="C27" i="1"/>
  <c r="C26" i="1"/>
  <c r="D26" i="1"/>
  <c r="E26" i="1"/>
  <c r="D25" i="1"/>
  <c r="E25" i="1"/>
  <c r="C25" i="1"/>
  <c r="F14" i="1"/>
  <c r="C14" i="1"/>
  <c r="D14" i="1"/>
  <c r="E14" i="1"/>
  <c r="B14" i="1"/>
  <c r="F24" i="2"/>
  <c r="G24" i="2" s="1"/>
  <c r="H24" i="2" s="1"/>
  <c r="I24" i="2" s="1"/>
  <c r="J24" i="2" s="1"/>
  <c r="K24" i="2" s="1"/>
  <c r="F23" i="2"/>
  <c r="G23" i="2" s="1"/>
  <c r="H23" i="2" s="1"/>
  <c r="I23" i="2" s="1"/>
  <c r="J23" i="2" s="1"/>
  <c r="K23" i="2" s="1"/>
  <c r="F21" i="2"/>
  <c r="G21" i="2" s="1"/>
  <c r="H21" i="2" s="1"/>
  <c r="I21" i="2" s="1"/>
  <c r="J21" i="2" s="1"/>
  <c r="K21" i="2" s="1"/>
  <c r="F20" i="2"/>
  <c r="G20" i="2" s="1"/>
  <c r="H20" i="2" s="1"/>
  <c r="I20" i="2" s="1"/>
  <c r="J20" i="2" s="1"/>
  <c r="K20" i="2" s="1"/>
  <c r="F18" i="2"/>
  <c r="G18" i="2" s="1"/>
  <c r="H18" i="2" s="1"/>
  <c r="I18" i="2" s="1"/>
  <c r="J18" i="2" s="1"/>
  <c r="K18" i="2" s="1"/>
  <c r="F17" i="2"/>
  <c r="G17" i="2" s="1"/>
  <c r="H17" i="2" s="1"/>
  <c r="I17" i="2" s="1"/>
  <c r="J17" i="2" s="1"/>
  <c r="K17" i="2" s="1"/>
  <c r="F15" i="2"/>
  <c r="G15" i="2" s="1"/>
  <c r="H15" i="2" s="1"/>
  <c r="I15" i="2" s="1"/>
  <c r="J15" i="2" s="1"/>
  <c r="K15" i="2" s="1"/>
  <c r="F14" i="2"/>
  <c r="G14" i="2" s="1"/>
  <c r="H14" i="2" s="1"/>
  <c r="I14" i="2" s="1"/>
  <c r="J14" i="2" s="1"/>
  <c r="K14" i="2" s="1"/>
  <c r="C52" i="1"/>
  <c r="D52" i="1"/>
  <c r="E52" i="1"/>
  <c r="C53" i="1"/>
  <c r="D53" i="1"/>
  <c r="E53" i="1"/>
  <c r="B53" i="1"/>
  <c r="B52" i="1"/>
  <c r="C47" i="1"/>
  <c r="D47" i="1"/>
  <c r="E47" i="1"/>
  <c r="C48" i="1"/>
  <c r="D48" i="1"/>
  <c r="E48" i="1"/>
  <c r="C49" i="1"/>
  <c r="D49" i="1"/>
  <c r="E49" i="1"/>
  <c r="C50" i="1"/>
  <c r="D50" i="1"/>
  <c r="E50" i="1"/>
  <c r="D46" i="1"/>
  <c r="E46" i="1"/>
  <c r="C46" i="1"/>
  <c r="C41" i="1"/>
  <c r="D41" i="1"/>
  <c r="E41" i="1"/>
  <c r="C42" i="1"/>
  <c r="D42" i="1"/>
  <c r="E42" i="1"/>
  <c r="C43" i="1"/>
  <c r="D43" i="1"/>
  <c r="E43" i="1"/>
  <c r="C44" i="1"/>
  <c r="D44" i="1"/>
  <c r="E44" i="1"/>
  <c r="D40" i="1"/>
  <c r="E40" i="1"/>
  <c r="C40" i="1"/>
  <c r="C34" i="1" l="1"/>
  <c r="D34" i="1"/>
  <c r="E34" i="1"/>
  <c r="D33" i="1"/>
  <c r="E33" i="1"/>
  <c r="C33" i="1"/>
  <c r="E46" i="2"/>
  <c r="E45" i="2"/>
  <c r="F6" i="1"/>
  <c r="G6" i="1" s="1"/>
  <c r="H6" i="1" s="1"/>
  <c r="I6" i="1" s="1"/>
  <c r="J6" i="1" s="1"/>
  <c r="K6" i="1" s="1"/>
  <c r="F35" i="2"/>
  <c r="F37" i="2"/>
  <c r="F38" i="2"/>
  <c r="F40" i="2"/>
  <c r="F41" i="2"/>
  <c r="F43" i="2"/>
  <c r="F44" i="2"/>
  <c r="F34" i="2"/>
  <c r="B21" i="1"/>
  <c r="B22" i="1"/>
  <c r="C32" i="2"/>
  <c r="C29" i="4" s="1"/>
  <c r="D32" i="2"/>
  <c r="D29" i="4" s="1"/>
  <c r="E32" i="2"/>
  <c r="E29" i="4" s="1"/>
  <c r="B32" i="2"/>
  <c r="B29" i="4" s="1"/>
  <c r="B46" i="2" l="1"/>
  <c r="B24" i="1" s="1"/>
  <c r="A37" i="1" l="1"/>
  <c r="F5" i="1"/>
  <c r="G5" i="1" s="1"/>
  <c r="H5" i="1" s="1"/>
  <c r="I5" i="1" s="1"/>
  <c r="J5" i="1" s="1"/>
  <c r="K5" i="1" s="1"/>
  <c r="D35" i="1"/>
  <c r="E35" i="1"/>
  <c r="D36" i="1"/>
  <c r="E36" i="1"/>
  <c r="F46" i="2" l="1"/>
  <c r="G46" i="2" s="1"/>
  <c r="H46" i="2" s="1"/>
  <c r="I46" i="2" s="1"/>
  <c r="J46" i="2" s="1"/>
  <c r="C35" i="1"/>
  <c r="C36" i="1"/>
  <c r="C37" i="1"/>
  <c r="E27" i="4"/>
  <c r="D27" i="4"/>
  <c r="C27" i="4"/>
  <c r="B27" i="4"/>
  <c r="G25" i="4"/>
  <c r="H25" i="4" s="1"/>
  <c r="I25" i="4" s="1"/>
  <c r="J25" i="4" s="1"/>
  <c r="K25" i="4" s="1"/>
  <c r="E19" i="4"/>
  <c r="D19" i="4"/>
  <c r="C19" i="4"/>
  <c r="B19" i="4"/>
  <c r="E18" i="4"/>
  <c r="D18" i="4"/>
  <c r="C18" i="4"/>
  <c r="B18" i="4"/>
  <c r="E17" i="4"/>
  <c r="D17" i="4"/>
  <c r="C17" i="4"/>
  <c r="B17" i="4"/>
  <c r="E16" i="4"/>
  <c r="D16" i="4"/>
  <c r="C16" i="4"/>
  <c r="B16" i="4"/>
  <c r="A55" i="2"/>
  <c r="A54" i="2"/>
  <c r="C52" i="2"/>
  <c r="C55" i="2" s="1"/>
  <c r="C58" i="2" s="1"/>
  <c r="C4" i="1" s="1"/>
  <c r="B52" i="2"/>
  <c r="B55" i="2" s="1"/>
  <c r="B58" i="2" s="1"/>
  <c r="B4" i="1" s="1"/>
  <c r="D46" i="2"/>
  <c r="D24" i="1" s="1"/>
  <c r="C46" i="2"/>
  <c r="C24" i="1" s="1"/>
  <c r="D45" i="2"/>
  <c r="D23" i="1" s="1"/>
  <c r="C45" i="2"/>
  <c r="C23" i="1" s="1"/>
  <c r="G44" i="2"/>
  <c r="H44" i="2" s="1"/>
  <c r="D44" i="2"/>
  <c r="D22" i="1" s="1"/>
  <c r="C44" i="2"/>
  <c r="C22" i="1" s="1"/>
  <c r="G43" i="2"/>
  <c r="D43" i="2"/>
  <c r="D21" i="1" s="1"/>
  <c r="C43" i="2"/>
  <c r="C21" i="1" s="1"/>
  <c r="G41" i="2"/>
  <c r="H41" i="2" s="1"/>
  <c r="I41" i="2" s="1"/>
  <c r="J41" i="2" s="1"/>
  <c r="K41" i="2" s="1"/>
  <c r="E41" i="2"/>
  <c r="E20" i="1" s="1"/>
  <c r="D41" i="2"/>
  <c r="D20" i="1" s="1"/>
  <c r="C41" i="2"/>
  <c r="C20" i="1" s="1"/>
  <c r="B41" i="2"/>
  <c r="B20" i="1" s="1"/>
  <c r="G40" i="2"/>
  <c r="H40" i="2" s="1"/>
  <c r="I40" i="2" s="1"/>
  <c r="J40" i="2" s="1"/>
  <c r="K40" i="2" s="1"/>
  <c r="E40" i="2"/>
  <c r="E19" i="1" s="1"/>
  <c r="D40" i="2"/>
  <c r="D19" i="1" s="1"/>
  <c r="C40" i="2"/>
  <c r="C19" i="1" s="1"/>
  <c r="B40" i="2"/>
  <c r="B19" i="1" s="1"/>
  <c r="G38" i="2"/>
  <c r="H38" i="2" s="1"/>
  <c r="I38" i="2" s="1"/>
  <c r="J38" i="2" s="1"/>
  <c r="K38" i="2" s="1"/>
  <c r="E38" i="2"/>
  <c r="E18" i="1" s="1"/>
  <c r="D38" i="2"/>
  <c r="D18" i="1" s="1"/>
  <c r="C38" i="2"/>
  <c r="C18" i="1" s="1"/>
  <c r="B38" i="2"/>
  <c r="B18" i="1" s="1"/>
  <c r="G37" i="2"/>
  <c r="H37" i="2" s="1"/>
  <c r="I37" i="2" s="1"/>
  <c r="J37" i="2" s="1"/>
  <c r="K37" i="2" s="1"/>
  <c r="E37" i="2"/>
  <c r="E17" i="1" s="1"/>
  <c r="D37" i="2"/>
  <c r="D17" i="1" s="1"/>
  <c r="C37" i="2"/>
  <c r="C17" i="1" s="1"/>
  <c r="B37" i="2"/>
  <c r="B17" i="1" s="1"/>
  <c r="G35" i="2"/>
  <c r="H35" i="2" s="1"/>
  <c r="I35" i="2" s="1"/>
  <c r="J35" i="2" s="1"/>
  <c r="K35" i="2" s="1"/>
  <c r="E35" i="2"/>
  <c r="E16" i="1" s="1"/>
  <c r="D35" i="2"/>
  <c r="D16" i="1" s="1"/>
  <c r="C35" i="2"/>
  <c r="C16" i="1" s="1"/>
  <c r="B35" i="2"/>
  <c r="B16" i="1" s="1"/>
  <c r="G34" i="2"/>
  <c r="H34" i="2" s="1"/>
  <c r="I34" i="2" s="1"/>
  <c r="J34" i="2" s="1"/>
  <c r="K34" i="2" s="1"/>
  <c r="E34" i="2"/>
  <c r="E15" i="1" s="1"/>
  <c r="D34" i="2"/>
  <c r="D15" i="1" s="1"/>
  <c r="C34" i="2"/>
  <c r="C15" i="1" s="1"/>
  <c r="B34" i="2"/>
  <c r="B15" i="1" s="1"/>
  <c r="D48" i="2"/>
  <c r="F45" i="2" l="1"/>
  <c r="D26" i="4"/>
  <c r="D28" i="4" s="1"/>
  <c r="D10" i="1" s="1"/>
  <c r="D22" i="4"/>
  <c r="D8" i="1" s="1"/>
  <c r="E26" i="4"/>
  <c r="E28" i="4" s="1"/>
  <c r="E10" i="1" s="1"/>
  <c r="E22" i="4"/>
  <c r="E8" i="1" s="1"/>
  <c r="B22" i="4"/>
  <c r="B8" i="1" s="1"/>
  <c r="B26" i="4"/>
  <c r="B28" i="4" s="1"/>
  <c r="B10" i="1" s="1"/>
  <c r="C22" i="4"/>
  <c r="C8" i="1" s="1"/>
  <c r="C26" i="4"/>
  <c r="C28" i="4" s="1"/>
  <c r="C10" i="1" s="1"/>
  <c r="D37" i="1"/>
  <c r="D50" i="2"/>
  <c r="D52" i="2" s="1"/>
  <c r="D55" i="2" s="1"/>
  <c r="D58" i="2" s="1"/>
  <c r="D4" i="1" s="1"/>
  <c r="F9" i="1"/>
  <c r="G9" i="1" s="1"/>
  <c r="H9" i="1" s="1"/>
  <c r="I9" i="1" s="1"/>
  <c r="J9" i="1" s="1"/>
  <c r="K9" i="1" s="1"/>
  <c r="E37" i="1"/>
  <c r="D54" i="2"/>
  <c r="I18" i="4"/>
  <c r="H17" i="4"/>
  <c r="F17" i="4"/>
  <c r="H18" i="4"/>
  <c r="F27" i="4"/>
  <c r="G17" i="4"/>
  <c r="G27" i="4"/>
  <c r="G18" i="4"/>
  <c r="G24" i="4"/>
  <c r="F16" i="4"/>
  <c r="F18" i="4"/>
  <c r="F19" i="4"/>
  <c r="E50" i="2"/>
  <c r="E52" i="2" s="1"/>
  <c r="E55" i="2" s="1"/>
  <c r="E58" i="2" s="1"/>
  <c r="E4" i="1" s="1"/>
  <c r="F50" i="2"/>
  <c r="F52" i="2" s="1"/>
  <c r="F55" i="2" s="1"/>
  <c r="I44" i="2"/>
  <c r="C48" i="2"/>
  <c r="C54" i="2"/>
  <c r="B48" i="2"/>
  <c r="B54" i="2"/>
  <c r="K46" i="2"/>
  <c r="H43" i="2"/>
  <c r="E48" i="2"/>
  <c r="E54" i="2"/>
  <c r="F26" i="4" l="1"/>
  <c r="F28" i="4" s="1"/>
  <c r="F10" i="1" s="1"/>
  <c r="F22" i="4"/>
  <c r="F8" i="1" s="1"/>
  <c r="G45" i="2"/>
  <c r="H45" i="2" s="1"/>
  <c r="I45" i="2" s="1"/>
  <c r="J45" i="2" s="1"/>
  <c r="F26" i="2"/>
  <c r="C11" i="1"/>
  <c r="E11" i="1"/>
  <c r="B11" i="1"/>
  <c r="D11" i="1"/>
  <c r="G19" i="4"/>
  <c r="G16" i="4"/>
  <c r="H19" i="4"/>
  <c r="H16" i="4"/>
  <c r="I17" i="4"/>
  <c r="H24" i="4"/>
  <c r="H27" i="4"/>
  <c r="K18" i="4"/>
  <c r="J18" i="4"/>
  <c r="I43" i="2"/>
  <c r="J44" i="2"/>
  <c r="H22" i="4" l="1"/>
  <c r="H8" i="1" s="1"/>
  <c r="H26" i="4"/>
  <c r="H28" i="4" s="1"/>
  <c r="H10" i="1" s="1"/>
  <c r="G22" i="4"/>
  <c r="G8" i="1" s="1"/>
  <c r="F58" i="2"/>
  <c r="F4" i="1" s="1"/>
  <c r="G26" i="4"/>
  <c r="G28" i="4" s="1"/>
  <c r="G10" i="1" s="1"/>
  <c r="F11" i="1"/>
  <c r="J17" i="4"/>
  <c r="K17" i="4"/>
  <c r="I16" i="4"/>
  <c r="I24" i="4"/>
  <c r="I19" i="4"/>
  <c r="I27" i="4"/>
  <c r="J43" i="2"/>
  <c r="K45" i="2"/>
  <c r="K44" i="2"/>
  <c r="I22" i="4" l="1"/>
  <c r="I8" i="1" s="1"/>
  <c r="I26" i="4"/>
  <c r="I28" i="4" s="1"/>
  <c r="I10" i="1" s="1"/>
  <c r="G11" i="1"/>
  <c r="H11" i="1"/>
  <c r="K16" i="4"/>
  <c r="J16" i="4"/>
  <c r="J24" i="4"/>
  <c r="K19" i="4"/>
  <c r="J19" i="4"/>
  <c r="J27" i="4"/>
  <c r="K27" i="4"/>
  <c r="K43" i="2"/>
  <c r="J26" i="4" l="1"/>
  <c r="J22" i="4"/>
  <c r="J8" i="1" s="1"/>
  <c r="K22" i="4"/>
  <c r="K8" i="1" s="1"/>
  <c r="I11" i="1"/>
  <c r="K24" i="4"/>
  <c r="K26" i="4" s="1"/>
  <c r="K28" i="4" l="1"/>
  <c r="K10" i="1" s="1"/>
  <c r="K11" i="1" s="1"/>
  <c r="J28" i="4"/>
  <c r="J10" i="1" s="1"/>
  <c r="J11" i="1" s="1"/>
  <c r="E27" i="2" l="1"/>
  <c r="E43" i="2" s="1"/>
  <c r="E21" i="1" s="1"/>
  <c r="F29" i="2" l="1"/>
  <c r="F4" i="2" l="1"/>
  <c r="F6" i="2" s="1"/>
  <c r="F7" i="2" l="1"/>
  <c r="F27" i="2"/>
  <c r="F30" i="2"/>
  <c r="F9" i="2" s="1"/>
  <c r="F11" i="2" s="1"/>
  <c r="F5" i="2"/>
  <c r="F10" i="2" l="1"/>
  <c r="F12" i="2"/>
  <c r="F32" i="2" l="1"/>
  <c r="F29" i="4" s="1"/>
  <c r="G29" i="2"/>
  <c r="G26" i="2"/>
  <c r="G4" i="2" l="1"/>
  <c r="F54" i="2"/>
  <c r="G50" i="2"/>
  <c r="G52" i="2" s="1"/>
  <c r="G55" i="2" s="1"/>
  <c r="F48" i="2"/>
  <c r="G58" i="2" l="1"/>
  <c r="G4" i="1" s="1"/>
  <c r="G5" i="2"/>
  <c r="G6" i="2"/>
  <c r="G7" i="2" s="1"/>
  <c r="G27" i="2" l="1"/>
  <c r="G30" i="2"/>
  <c r="G9" i="2" l="1"/>
  <c r="G10" i="2" l="1"/>
  <c r="G11" i="2"/>
  <c r="G12" i="2" s="1"/>
  <c r="G32" i="2" l="1"/>
  <c r="H26" i="2"/>
  <c r="H29" i="2"/>
  <c r="G48" i="2" l="1"/>
  <c r="G29" i="4"/>
  <c r="H4" i="2"/>
  <c r="H6" i="2" s="1"/>
  <c r="H7" i="2" s="1"/>
  <c r="G54" i="2"/>
  <c r="H50" i="2"/>
  <c r="H52" i="2" s="1"/>
  <c r="H55" i="2" s="1"/>
  <c r="H58" i="2" l="1"/>
  <c r="H4" i="1" s="1"/>
  <c r="H5" i="2"/>
  <c r="H27" i="2"/>
  <c r="H30" i="2"/>
  <c r="H9" i="2" l="1"/>
  <c r="H11" i="2" s="1"/>
  <c r="H12" i="2" s="1"/>
  <c r="H10" i="2" l="1"/>
  <c r="H32" i="2" s="1"/>
  <c r="H29" i="4" s="1"/>
  <c r="I29" i="2"/>
  <c r="I26" i="2"/>
  <c r="I4" i="2" l="1"/>
  <c r="I6" i="2" s="1"/>
  <c r="I7" i="2" s="1"/>
  <c r="I50" i="2" l="1"/>
  <c r="I52" i="2" s="1"/>
  <c r="I55" i="2" s="1"/>
  <c r="H54" i="2"/>
  <c r="H48" i="2"/>
  <c r="I27" i="2"/>
  <c r="I5" i="2"/>
  <c r="I30" i="2"/>
  <c r="I9" i="2" l="1"/>
  <c r="I58" i="2"/>
  <c r="I4" i="1" s="1"/>
  <c r="I10" i="2" l="1"/>
  <c r="I11" i="2"/>
  <c r="I12" i="2" s="1"/>
  <c r="I32" i="2" l="1"/>
  <c r="I29" i="4" s="1"/>
  <c r="J26" i="2"/>
  <c r="J29" i="2"/>
  <c r="I48" i="2" l="1"/>
  <c r="J4" i="2"/>
  <c r="J6" i="2" s="1"/>
  <c r="J7" i="2" s="1"/>
  <c r="J50" i="2"/>
  <c r="J52" i="2" s="1"/>
  <c r="J55" i="2" s="1"/>
  <c r="I54" i="2"/>
  <c r="J58" i="2" l="1"/>
  <c r="J4" i="1" s="1"/>
  <c r="J5" i="2"/>
  <c r="J27" i="2"/>
  <c r="J30" i="2"/>
  <c r="J9" i="2" l="1"/>
  <c r="J10" i="2" l="1"/>
  <c r="J11" i="2"/>
  <c r="J12" i="2" s="1"/>
  <c r="J32" i="2" l="1"/>
  <c r="J29" i="4" s="1"/>
  <c r="K29" i="2"/>
  <c r="K26" i="2"/>
  <c r="K4" i="2" l="1"/>
  <c r="K6" i="2" s="1"/>
  <c r="K7" i="2" s="1"/>
  <c r="J54" i="2"/>
  <c r="K50" i="2"/>
  <c r="K52" i="2" s="1"/>
  <c r="K55" i="2" s="1"/>
  <c r="J48" i="2"/>
  <c r="K58" i="2" l="1"/>
  <c r="K4" i="1" s="1"/>
  <c r="K27" i="2"/>
  <c r="K30" i="2"/>
  <c r="K5" i="2"/>
  <c r="K9" i="2" l="1"/>
  <c r="K10" i="2" s="1"/>
  <c r="K11" i="2" l="1"/>
  <c r="K12" i="2" s="1"/>
  <c r="K32" i="2" l="1"/>
  <c r="K48" i="2" s="1"/>
  <c r="E26" i="2"/>
  <c r="E44" i="2" s="1"/>
  <c r="E22" i="1" s="1"/>
  <c r="E57" i="2"/>
  <c r="E3" i="1" s="1"/>
  <c r="E7" i="1" s="1"/>
  <c r="E13" i="1" s="1"/>
  <c r="K54" i="2" l="1"/>
  <c r="K29" i="4"/>
  <c r="G57" i="2"/>
  <c r="G3" i="1" s="1"/>
  <c r="G7" i="1" s="1"/>
  <c r="G13" i="1" s="1"/>
  <c r="F57" i="2"/>
  <c r="F3" i="1" s="1"/>
  <c r="F7" i="1" s="1"/>
  <c r="F13" i="1" s="1"/>
  <c r="H57" i="2" l="1"/>
  <c r="H3" i="1" s="1"/>
  <c r="H7" i="1" s="1"/>
  <c r="H13" i="1" s="1"/>
  <c r="I57" i="2" l="1"/>
  <c r="I3" i="1" s="1"/>
  <c r="I7" i="1" s="1"/>
  <c r="I13" i="1" s="1"/>
  <c r="J57" i="2" l="1"/>
  <c r="J3" i="1" s="1"/>
  <c r="J7" i="1" s="1"/>
  <c r="J13" i="1" s="1"/>
  <c r="K57" i="2" l="1"/>
  <c r="K3" i="1" s="1"/>
  <c r="K7" i="1" s="1"/>
  <c r="K13" i="1" s="1"/>
  <c r="D57" i="2" l="1"/>
  <c r="D3" i="1" s="1"/>
  <c r="D7" i="1" s="1"/>
  <c r="D13" i="1" s="1"/>
  <c r="C57" i="2"/>
  <c r="C3" i="1" s="1"/>
  <c r="C7" i="1" s="1"/>
  <c r="C13" i="1" s="1"/>
  <c r="B57" i="2"/>
  <c r="B3" i="1" s="1"/>
  <c r="B7" i="1" s="1"/>
  <c r="B13" i="1" s="1"/>
</calcChain>
</file>

<file path=xl/sharedStrings.xml><?xml version="1.0" encoding="utf-8"?>
<sst xmlns="http://schemas.openxmlformats.org/spreadsheetml/2006/main" count="157" uniqueCount="126">
  <si>
    <t>2014-15</t>
  </si>
  <si>
    <t>2015-16</t>
  </si>
  <si>
    <t>2016-17</t>
  </si>
  <si>
    <t>2017-18</t>
  </si>
  <si>
    <t>2018-19</t>
  </si>
  <si>
    <t>2019-20</t>
  </si>
  <si>
    <t>2020-21</t>
  </si>
  <si>
    <t>2021-22</t>
  </si>
  <si>
    <t>2022-23</t>
  </si>
  <si>
    <t>2023-24</t>
  </si>
  <si>
    <t>Budget</t>
  </si>
  <si>
    <t>Enrollment analysis</t>
  </si>
  <si>
    <t>Actual</t>
  </si>
  <si>
    <t>Projection</t>
  </si>
  <si>
    <t>Fall full-time headcount</t>
  </si>
  <si>
    <t>Fall full-time FTEs</t>
  </si>
  <si>
    <t>Fall part-time headcount</t>
  </si>
  <si>
    <t>Fall part-time FTEs</t>
  </si>
  <si>
    <t>Spring full-time headcount</t>
  </si>
  <si>
    <t>Spring full-time FTEs</t>
  </si>
  <si>
    <t>Spring part-time headcount</t>
  </si>
  <si>
    <t>Spring part-time FTEs</t>
  </si>
  <si>
    <t>Winter FTEs</t>
  </si>
  <si>
    <t>Summer FTEs</t>
  </si>
  <si>
    <t>Recruiting</t>
  </si>
  <si>
    <t>New, first-time students, Fall headcount</t>
  </si>
  <si>
    <t>New, first-time students, Spring headcount</t>
  </si>
  <si>
    <t>Transfer-in students, new in Fall, headcount</t>
  </si>
  <si>
    <t>Transfer-in students, new in Spring, headcount</t>
  </si>
  <si>
    <t>New, readmit &amp; other Fall</t>
  </si>
  <si>
    <t>New, readmit &amp; other Spring</t>
  </si>
  <si>
    <t>Fall winter grads</t>
  </si>
  <si>
    <t>Spring summer grads</t>
  </si>
  <si>
    <t>Returning students, Fall headcount</t>
  </si>
  <si>
    <t>Returning students, Spring headcount</t>
  </si>
  <si>
    <t>Total FTEs</t>
  </si>
  <si>
    <t>Fall % Full Time</t>
  </si>
  <si>
    <t>Spring % Full Time</t>
  </si>
  <si>
    <t>Fall FT head/FTE ratio</t>
  </si>
  <si>
    <t>Spring FT heat/FTE ratio</t>
  </si>
  <si>
    <t>Fall PT head/FTE ratio</t>
  </si>
  <si>
    <t>Spring PT heat/FTE ratio</t>
  </si>
  <si>
    <t>Fall winter grads as % of total headcount</t>
  </si>
  <si>
    <t>Spring summer grads as % of total headcount</t>
  </si>
  <si>
    <t>% of FTEs from Fall and Spring</t>
  </si>
  <si>
    <t>20-30-50% FTE Average</t>
  </si>
  <si>
    <t>Greater of 20-30-50% or previous FTE</t>
  </si>
  <si>
    <t>Heads</t>
  </si>
  <si>
    <t>Faculty</t>
  </si>
  <si>
    <t>Exempt</t>
  </si>
  <si>
    <t>Administrators</t>
  </si>
  <si>
    <t>Hourly</t>
  </si>
  <si>
    <t>Rates</t>
  </si>
  <si>
    <t>Salary Expense</t>
  </si>
  <si>
    <t>Overload, FT</t>
  </si>
  <si>
    <t>Adjuncts</t>
  </si>
  <si>
    <t>Benefits</t>
  </si>
  <si>
    <t>FT bene rate</t>
  </si>
  <si>
    <t>PT bene rate</t>
  </si>
  <si>
    <t>Active benefits</t>
  </si>
  <si>
    <t>Retiree benefits</t>
  </si>
  <si>
    <t>Total benefits</t>
  </si>
  <si>
    <t>Heads/year</t>
  </si>
  <si>
    <t>Annual Salary Inc.</t>
  </si>
  <si>
    <t>FT Projection</t>
  </si>
  <si>
    <t>PT Projection</t>
  </si>
  <si>
    <t>State Aid</t>
  </si>
  <si>
    <t>Total Revenue</t>
  </si>
  <si>
    <t>Salaries</t>
  </si>
  <si>
    <t>State aid</t>
  </si>
  <si>
    <t>Total Expenses</t>
  </si>
  <si>
    <t>Surplus (Deficit)</t>
  </si>
  <si>
    <t>Tuition/FTE</t>
  </si>
  <si>
    <t>Net state aid/formula FTE</t>
  </si>
  <si>
    <t>Benefit rates</t>
  </si>
  <si>
    <t>Retirees (per year)</t>
  </si>
  <si>
    <t>County contribution</t>
  </si>
  <si>
    <t>UpperGrand Community College</t>
  </si>
  <si>
    <t>Return to Spring % (after graduations)</t>
  </si>
  <si>
    <t>Return to Fall % (after graduations)</t>
  </si>
  <si>
    <t>(Retirees on benes)</t>
  </si>
  <si>
    <t>(Benefits/retiree)</t>
  </si>
  <si>
    <t>Hourly (annual)</t>
  </si>
  <si>
    <t>Hourly staff</t>
  </si>
  <si>
    <t>Saff</t>
  </si>
  <si>
    <t>Staff</t>
  </si>
  <si>
    <t>Rates &amp; Rate of Increase--Enrollment</t>
  </si>
  <si>
    <t>Rates &amp; Rate of Increase--Salary</t>
  </si>
  <si>
    <t>Total Student FTE/FT Faculty</t>
  </si>
  <si>
    <t>Fall Fulltime Head/FTE ratio</t>
  </si>
  <si>
    <t>Spring Fulltime Head/FTE ratio</t>
  </si>
  <si>
    <t>Fall Part-time Head/FTE ratio</t>
  </si>
  <si>
    <t>Spring Part-time Head/FTE ratio</t>
  </si>
  <si>
    <t>Notes on Workbook Construction</t>
  </si>
  <si>
    <t>Blue cells are to be filled with initial values.</t>
  </si>
  <si>
    <t>Gray cells are formulas, and may be altered to reflect special conditions, but sparingly.</t>
  </si>
  <si>
    <t>Yellow cells are for changing projection values. These are planning variables.</t>
  </si>
  <si>
    <t>Changing any yellow cell changes the projection.</t>
  </si>
  <si>
    <t>Yellow cells are proceeded by actual trends.</t>
  </si>
  <si>
    <t>All projected trends go on forever (unless the user changes a formula).</t>
  </si>
  <si>
    <t>Full- and part-time are changed into FTEs by ratios.</t>
  </si>
  <si>
    <t>Enrollment headcounts are projected by category, then split into full- and part-time by ratios.</t>
  </si>
  <si>
    <t>Summer and winter FTEs are exceptions and are projected as FTEs only.</t>
  </si>
  <si>
    <t>Graduations are as a % of all enrolled in the semester.</t>
  </si>
  <si>
    <t>Returns to the next fall or spring semester are as a % of all enrolled, less graduations.</t>
  </si>
  <si>
    <t xml:space="preserve">Tuition is calculated as an average per FTE (not as a stated amount) and is net of institutional aid. </t>
  </si>
  <si>
    <t>Tuition revenue is total FTE times the net tuition rate/FTE.</t>
  </si>
  <si>
    <t>Enroll tab</t>
  </si>
  <si>
    <t>State aid is state aid/formula FTE times formula FTE.</t>
  </si>
  <si>
    <t>State aid/formula FTE</t>
  </si>
  <si>
    <t>Formula FTE is 50% of current year FTE + 30% of previous year FTE + 20% of previous previous year FTE,</t>
  </si>
  <si>
    <t>or the previous year's FTE, whichever is greater.</t>
  </si>
  <si>
    <t>Salary tab</t>
  </si>
  <si>
    <t>Heads (headcount) and average salaries are projected linearly for all classifications, except adjuncts and overload FT.</t>
  </si>
  <si>
    <t>Heads times average salaries yields classification salary budgets.</t>
  </si>
  <si>
    <t>Proj tab</t>
  </si>
  <si>
    <t>The county contribution is a lump sum and does not depend on FTE.</t>
  </si>
  <si>
    <t>Other revenue</t>
  </si>
  <si>
    <t>Supplies &amp; Contractual &amp; Equipment</t>
  </si>
  <si>
    <t>Net tuition</t>
  </si>
  <si>
    <t>Net tuition/FTE</t>
  </si>
  <si>
    <t>Other revene is a lump sum.</t>
  </si>
  <si>
    <t>Supplies &amp; Contractual &amp; Equipment is a lump sum.</t>
  </si>
  <si>
    <t>The adjunct budget and overload FT budget (for fulltime faculty teaching on overload) are budgeted as lump sums.</t>
  </si>
  <si>
    <t>Adjuncts and hourly have a part-time benefit rate application. All others use the full-time rate.</t>
  </si>
  <si>
    <t>Retirees receive health benefits.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</si>
</sst>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_(* #,##0.000_);_(* \(#,##0.000\);_(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3399FF"/>
        <bgColor indexed="64"/>
      </patternFill>
    </fill>
    <fill>
      <patternFill patternType="solid">
        <fgColor rgb="FF57ABFF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2" tint="-9.9978637043366805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92">
    <xf numFmtId="0" fontId="0" fillId="0" borderId="0" xfId="0"/>
    <xf numFmtId="164" fontId="0" fillId="0" borderId="0" xfId="1" applyNumberFormat="1" applyFont="1"/>
    <xf numFmtId="164" fontId="0" fillId="0" borderId="0" xfId="1" applyNumberFormat="1" applyFont="1" applyBorder="1"/>
    <xf numFmtId="164" fontId="0" fillId="2" borderId="1" xfId="1" applyNumberFormat="1" applyFont="1" applyFill="1" applyBorder="1"/>
    <xf numFmtId="164" fontId="0" fillId="0" borderId="0" xfId="1" applyNumberFormat="1" applyFont="1" applyFill="1" applyBorder="1"/>
    <xf numFmtId="165" fontId="0" fillId="3" borderId="1" xfId="2" applyNumberFormat="1" applyFont="1" applyFill="1" applyBorder="1"/>
    <xf numFmtId="166" fontId="0" fillId="0" borderId="0" xfId="1" applyNumberFormat="1" applyFont="1"/>
    <xf numFmtId="164" fontId="1" fillId="0" borderId="0" xfId="1" applyNumberFormat="1" applyFont="1"/>
    <xf numFmtId="0" fontId="0" fillId="0" borderId="0" xfId="0" applyAlignment="1">
      <alignment horizontal="right"/>
    </xf>
    <xf numFmtId="164" fontId="2" fillId="0" borderId="0" xfId="1" applyNumberFormat="1" applyFont="1"/>
    <xf numFmtId="164" fontId="0" fillId="4" borderId="1" xfId="1" applyNumberFormat="1" applyFont="1" applyFill="1" applyBorder="1"/>
    <xf numFmtId="164" fontId="0" fillId="3" borderId="1" xfId="1" applyNumberFormat="1" applyFont="1" applyFill="1" applyBorder="1"/>
    <xf numFmtId="164" fontId="0" fillId="4" borderId="2" xfId="1" applyNumberFormat="1" applyFont="1" applyFill="1" applyBorder="1"/>
    <xf numFmtId="164" fontId="1" fillId="4" borderId="0" xfId="1" applyNumberFormat="1" applyFont="1" applyFill="1" applyAlignment="1">
      <alignment horizontal="center"/>
    </xf>
    <xf numFmtId="164" fontId="0" fillId="2" borderId="1" xfId="0" applyNumberFormat="1" applyFill="1" applyBorder="1"/>
    <xf numFmtId="164" fontId="1" fillId="2" borderId="1" xfId="1" applyNumberFormat="1" applyFont="1" applyFill="1" applyBorder="1"/>
    <xf numFmtId="165" fontId="0" fillId="2" borderId="1" xfId="2" applyNumberFormat="1" applyFont="1" applyFill="1" applyBorder="1"/>
    <xf numFmtId="164" fontId="2" fillId="4" borderId="1" xfId="1" applyNumberFormat="1" applyFont="1" applyFill="1" applyBorder="1"/>
    <xf numFmtId="164" fontId="0" fillId="4" borderId="3" xfId="1" applyNumberFormat="1" applyFont="1" applyFill="1" applyBorder="1"/>
    <xf numFmtId="164" fontId="0" fillId="4" borderId="8" xfId="1" applyNumberFormat="1" applyFont="1" applyFill="1" applyBorder="1"/>
    <xf numFmtId="164" fontId="0" fillId="4" borderId="7" xfId="1" applyNumberFormat="1" applyFont="1" applyFill="1" applyBorder="1"/>
    <xf numFmtId="164" fontId="1" fillId="4" borderId="4" xfId="1" applyNumberFormat="1" applyFont="1" applyFill="1" applyBorder="1"/>
    <xf numFmtId="164" fontId="1" fillId="4" borderId="5" xfId="1" applyNumberFormat="1" applyFont="1" applyFill="1" applyBorder="1"/>
    <xf numFmtId="164" fontId="1" fillId="4" borderId="6" xfId="1" applyNumberFormat="1" applyFont="1" applyFill="1" applyBorder="1"/>
    <xf numFmtId="43" fontId="0" fillId="3" borderId="1" xfId="1" applyFont="1" applyFill="1" applyBorder="1"/>
    <xf numFmtId="43" fontId="0" fillId="2" borderId="1" xfId="1" applyFont="1" applyFill="1" applyBorder="1"/>
    <xf numFmtId="165" fontId="0" fillId="5" borderId="1" xfId="2" applyNumberFormat="1" applyFont="1" applyFill="1" applyBorder="1"/>
    <xf numFmtId="165" fontId="0" fillId="6" borderId="1" xfId="2" applyNumberFormat="1" applyFont="1" applyFill="1" applyBorder="1"/>
    <xf numFmtId="43" fontId="0" fillId="6" borderId="1" xfId="1" applyFont="1" applyFill="1" applyBorder="1"/>
    <xf numFmtId="165" fontId="0" fillId="3" borderId="3" xfId="2" applyNumberFormat="1" applyFont="1" applyFill="1" applyBorder="1"/>
    <xf numFmtId="165" fontId="0" fillId="7" borderId="1" xfId="2" applyNumberFormat="1" applyFont="1" applyFill="1" applyBorder="1"/>
    <xf numFmtId="165" fontId="0" fillId="7" borderId="0" xfId="2" applyNumberFormat="1" applyFont="1" applyFill="1" applyBorder="1"/>
    <xf numFmtId="165" fontId="0" fillId="4" borderId="1" xfId="2" applyNumberFormat="1" applyFont="1" applyFill="1" applyBorder="1"/>
    <xf numFmtId="165" fontId="0" fillId="4" borderId="1" xfId="2" applyNumberFormat="1" applyFont="1" applyFill="1" applyBorder="1" applyAlignment="1">
      <alignment horizontal="right"/>
    </xf>
    <xf numFmtId="0" fontId="0" fillId="4" borderId="1" xfId="0" applyFill="1" applyBorder="1" applyAlignment="1">
      <alignment horizontal="right"/>
    </xf>
    <xf numFmtId="164" fontId="0" fillId="8" borderId="1" xfId="1" applyNumberFormat="1" applyFont="1" applyFill="1" applyBorder="1"/>
    <xf numFmtId="164" fontId="0" fillId="9" borderId="1" xfId="1" applyNumberFormat="1" applyFont="1" applyFill="1" applyBorder="1"/>
    <xf numFmtId="164" fontId="0" fillId="9" borderId="8" xfId="1" applyNumberFormat="1" applyFont="1" applyFill="1" applyBorder="1"/>
    <xf numFmtId="164" fontId="0" fillId="9" borderId="2" xfId="1" applyNumberFormat="1" applyFont="1" applyFill="1" applyBorder="1"/>
    <xf numFmtId="164" fontId="1" fillId="4" borderId="1" xfId="1" applyNumberFormat="1" applyFont="1" applyFill="1" applyBorder="1" applyAlignment="1">
      <alignment horizontal="center" vertical="top" wrapText="1"/>
    </xf>
    <xf numFmtId="165" fontId="0" fillId="6" borderId="8" xfId="2" applyNumberFormat="1" applyFont="1" applyFill="1" applyBorder="1"/>
    <xf numFmtId="165" fontId="0" fillId="3" borderId="8" xfId="2" applyNumberFormat="1" applyFont="1" applyFill="1" applyBorder="1"/>
    <xf numFmtId="164" fontId="1" fillId="4" borderId="0" xfId="0" applyNumberFormat="1" applyFont="1" applyFill="1" applyAlignment="1">
      <alignment horizontal="center"/>
    </xf>
    <xf numFmtId="165" fontId="0" fillId="9" borderId="1" xfId="2" applyNumberFormat="1" applyFont="1" applyFill="1" applyBorder="1"/>
    <xf numFmtId="164" fontId="2" fillId="9" borderId="1" xfId="1" applyNumberFormat="1" applyFont="1" applyFill="1" applyBorder="1" applyAlignment="1">
      <alignment horizontal="center"/>
    </xf>
    <xf numFmtId="164" fontId="2" fillId="9" borderId="1" xfId="1" applyNumberFormat="1" applyFont="1" applyFill="1" applyBorder="1"/>
    <xf numFmtId="165" fontId="0" fillId="4" borderId="1" xfId="0" applyNumberFormat="1" applyFill="1" applyBorder="1"/>
    <xf numFmtId="164" fontId="0" fillId="4" borderId="3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4" borderId="0" xfId="0" applyFill="1" applyAlignment="1">
      <alignment horizontal="right"/>
    </xf>
    <xf numFmtId="0" fontId="0" fillId="4" borderId="0" xfId="0" applyFill="1" applyAlignment="1">
      <alignment horizontal="center"/>
    </xf>
    <xf numFmtId="0" fontId="3" fillId="4" borderId="0" xfId="0" applyFont="1" applyFill="1" applyAlignment="1">
      <alignment horizontal="right"/>
    </xf>
    <xf numFmtId="0" fontId="1" fillId="4" borderId="0" xfId="0" applyFont="1" applyFill="1" applyAlignment="1">
      <alignment horizontal="right"/>
    </xf>
    <xf numFmtId="0" fontId="1" fillId="4" borderId="0" xfId="0" applyFont="1" applyFill="1" applyAlignment="1">
      <alignment horizontal="left"/>
    </xf>
    <xf numFmtId="164" fontId="1" fillId="4" borderId="0" xfId="1" applyNumberFormat="1" applyFont="1" applyFill="1" applyAlignment="1">
      <alignment horizontal="right"/>
    </xf>
    <xf numFmtId="164" fontId="0" fillId="4" borderId="0" xfId="1" applyNumberFormat="1" applyFont="1" applyFill="1"/>
    <xf numFmtId="164" fontId="0" fillId="10" borderId="0" xfId="1" applyNumberFormat="1" applyFont="1" applyFill="1"/>
    <xf numFmtId="164" fontId="1" fillId="8" borderId="0" xfId="1" applyNumberFormat="1" applyFont="1" applyFill="1" applyAlignment="1">
      <alignment horizontal="center"/>
    </xf>
    <xf numFmtId="164" fontId="1" fillId="8" borderId="0" xfId="1" applyNumberFormat="1" applyFont="1" applyFill="1" applyAlignment="1">
      <alignment horizontal="center"/>
    </xf>
    <xf numFmtId="0" fontId="0" fillId="4" borderId="0" xfId="0" applyFill="1" applyAlignment="1">
      <alignment horizontal="center"/>
    </xf>
    <xf numFmtId="164" fontId="0" fillId="11" borderId="0" xfId="1" applyNumberFormat="1" applyFont="1" applyFill="1"/>
    <xf numFmtId="0" fontId="0" fillId="11" borderId="0" xfId="0" applyFill="1"/>
    <xf numFmtId="0" fontId="1" fillId="11" borderId="0" xfId="0" applyFont="1" applyFill="1" applyBorder="1" applyAlignment="1">
      <alignment horizontal="center"/>
    </xf>
    <xf numFmtId="0" fontId="1" fillId="11" borderId="0" xfId="0" applyFont="1" applyFill="1" applyBorder="1" applyAlignment="1">
      <alignment horizontal="center" wrapText="1"/>
    </xf>
    <xf numFmtId="164" fontId="0" fillId="11" borderId="0" xfId="1" applyNumberFormat="1" applyFont="1" applyFill="1" applyBorder="1"/>
    <xf numFmtId="0" fontId="0" fillId="8" borderId="0" xfId="0" applyFill="1"/>
    <xf numFmtId="0" fontId="0" fillId="12" borderId="0" xfId="0" applyFill="1"/>
    <xf numFmtId="0" fontId="0" fillId="3" borderId="0" xfId="0" applyFill="1"/>
    <xf numFmtId="166" fontId="0" fillId="4" borderId="0" xfId="1" applyNumberFormat="1" applyFont="1" applyFill="1"/>
    <xf numFmtId="43" fontId="0" fillId="4" borderId="1" xfId="1" applyFont="1" applyFill="1" applyBorder="1"/>
    <xf numFmtId="0" fontId="0" fillId="11" borderId="0" xfId="0" applyFill="1" applyAlignment="1">
      <alignment horizontal="right"/>
    </xf>
    <xf numFmtId="164" fontId="2" fillId="11" borderId="0" xfId="1" applyNumberFormat="1" applyFont="1" applyFill="1"/>
    <xf numFmtId="164" fontId="1" fillId="11" borderId="0" xfId="1" applyNumberFormat="1" applyFont="1" applyFill="1" applyAlignment="1"/>
    <xf numFmtId="164" fontId="1" fillId="11" borderId="0" xfId="1" applyNumberFormat="1" applyFont="1" applyFill="1"/>
    <xf numFmtId="164" fontId="1" fillId="11" borderId="0" xfId="1" applyNumberFormat="1" applyFont="1" applyFill="1" applyAlignment="1">
      <alignment horizontal="center"/>
    </xf>
    <xf numFmtId="165" fontId="0" fillId="11" borderId="0" xfId="2" applyNumberFormat="1" applyFont="1" applyFill="1" applyBorder="1"/>
    <xf numFmtId="0" fontId="1" fillId="11" borderId="0" xfId="0" applyFont="1" applyFill="1" applyAlignment="1">
      <alignment horizontal="right"/>
    </xf>
    <xf numFmtId="0" fontId="1" fillId="11" borderId="0" xfId="0" applyFont="1" applyFill="1" applyAlignment="1">
      <alignment horizontal="left"/>
    </xf>
    <xf numFmtId="164" fontId="4" fillId="8" borderId="0" xfId="1" applyNumberFormat="1" applyFont="1" applyFill="1"/>
    <xf numFmtId="164" fontId="1" fillId="6" borderId="0" xfId="1" applyNumberFormat="1" applyFont="1" applyFill="1"/>
    <xf numFmtId="164" fontId="0" fillId="6" borderId="0" xfId="1" applyNumberFormat="1" applyFont="1" applyFill="1" applyAlignment="1">
      <alignment horizontal="right"/>
    </xf>
    <xf numFmtId="164" fontId="0" fillId="6" borderId="0" xfId="1" applyNumberFormat="1" applyFont="1" applyFill="1"/>
    <xf numFmtId="0" fontId="0" fillId="6" borderId="0" xfId="0" applyFill="1" applyAlignment="1">
      <alignment horizontal="right"/>
    </xf>
    <xf numFmtId="0" fontId="1" fillId="6" borderId="0" xfId="0" applyFont="1" applyFill="1" applyAlignment="1">
      <alignment horizontal="right"/>
    </xf>
    <xf numFmtId="43" fontId="0" fillId="11" borderId="0" xfId="0" applyNumberFormat="1" applyFill="1"/>
    <xf numFmtId="165" fontId="0" fillId="11" borderId="1" xfId="2" applyNumberFormat="1" applyFont="1" applyFill="1" applyBorder="1"/>
    <xf numFmtId="164" fontId="0" fillId="11" borderId="1" xfId="1" applyNumberFormat="1" applyFont="1" applyFill="1" applyBorder="1"/>
    <xf numFmtId="165" fontId="0" fillId="11" borderId="0" xfId="2" applyNumberFormat="1" applyFont="1" applyFill="1"/>
    <xf numFmtId="166" fontId="0" fillId="11" borderId="0" xfId="1" applyNumberFormat="1" applyFont="1" applyFill="1"/>
    <xf numFmtId="164" fontId="0" fillId="11" borderId="0" xfId="1" applyNumberFormat="1" applyFont="1" applyFill="1" applyAlignment="1">
      <alignment horizontal="center"/>
    </xf>
    <xf numFmtId="0" fontId="0" fillId="11" borderId="0" xfId="0" applyFill="1" applyAlignment="1">
      <alignment horizontal="center"/>
    </xf>
    <xf numFmtId="0" fontId="1" fillId="11" borderId="0" xfId="0" applyFont="1" applyFill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CCFFFF"/>
      <color rgb="FF3399FF"/>
      <color rgb="FFFFCCFF"/>
      <color rgb="FF57AB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4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chartsheet" Target="chartsheets/sheet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2.xml"/><Relationship Id="rId11" Type="http://schemas.openxmlformats.org/officeDocument/2006/relationships/theme" Target="theme/theme1.xml"/><Relationship Id="rId5" Type="http://schemas.openxmlformats.org/officeDocument/2006/relationships/chartsheet" Target="chartsheets/sheet1.xml"/><Relationship Id="rId10" Type="http://schemas.openxmlformats.org/officeDocument/2006/relationships/chartsheet" Target="chartsheets/sheet6.xml"/><Relationship Id="rId4" Type="http://schemas.openxmlformats.org/officeDocument/2006/relationships/worksheet" Target="worksheets/sheet4.xml"/><Relationship Id="rId9" Type="http://schemas.openxmlformats.org/officeDocument/2006/relationships/chartsheet" Target="chartsheets/sheet5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Proj!$A$13</c:f>
              <c:strCache>
                <c:ptCount val="1"/>
                <c:pt idx="0">
                  <c:v> Surplus (Deficit) 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dLbl>
              <c:idx val="4"/>
              <c:layout>
                <c:manualLayout>
                  <c:x val="1.4634146903558553E-3"/>
                  <c:y val="8.7246745834546979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02D-4059-9A06-2E9B52D705DE}"/>
                </c:ext>
              </c:extLst>
            </c:dLbl>
            <c:numFmt formatCode="&quot;$&quot;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t" anchorCtr="0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Proj!$B$2:$K$2</c:f>
              <c:strCache>
                <c:ptCount val="10"/>
                <c:pt idx="0">
                  <c:v> 2014-15 </c:v>
                </c:pt>
                <c:pt idx="1">
                  <c:v> 2015-16 </c:v>
                </c:pt>
                <c:pt idx="2">
                  <c:v> 2016-17 </c:v>
                </c:pt>
                <c:pt idx="3">
                  <c:v> 2017-18 </c:v>
                </c:pt>
                <c:pt idx="4">
                  <c:v> 2018-19 </c:v>
                </c:pt>
                <c:pt idx="5">
                  <c:v> 2019-20 </c:v>
                </c:pt>
                <c:pt idx="6">
                  <c:v> 2020-21 </c:v>
                </c:pt>
                <c:pt idx="7">
                  <c:v> 2021-22 </c:v>
                </c:pt>
                <c:pt idx="8">
                  <c:v> 2022-23 </c:v>
                </c:pt>
                <c:pt idx="9">
                  <c:v> 2023-24 </c:v>
                </c:pt>
              </c:strCache>
            </c:strRef>
          </c:cat>
          <c:val>
            <c:numRef>
              <c:f>Proj!$B$13:$K$13</c:f>
              <c:numCache>
                <c:formatCode>_(* #,##0_);_(* \(#,##0\);_(* "-"??_);_(@_)</c:formatCode>
                <c:ptCount val="10"/>
                <c:pt idx="0">
                  <c:v>-1212851.9310570359</c:v>
                </c:pt>
                <c:pt idx="1">
                  <c:v>922245.1581915468</c:v>
                </c:pt>
                <c:pt idx="2">
                  <c:v>-1472444.0609148294</c:v>
                </c:pt>
                <c:pt idx="3">
                  <c:v>-1062659.0351357758</c:v>
                </c:pt>
                <c:pt idx="4">
                  <c:v>-145676.28624030203</c:v>
                </c:pt>
                <c:pt idx="5">
                  <c:v>347769.83617147803</c:v>
                </c:pt>
                <c:pt idx="6">
                  <c:v>196102.76138837636</c:v>
                </c:pt>
                <c:pt idx="7">
                  <c:v>113536.49989071488</c:v>
                </c:pt>
                <c:pt idx="8">
                  <c:v>68062.866478487849</c:v>
                </c:pt>
                <c:pt idx="9">
                  <c:v>63889.003067225218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2D-4059-9A06-2E9B52D705DE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1927946848"/>
        <c:axId val="2063202224"/>
      </c:barChart>
      <c:catAx>
        <c:axId val="1927946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63202224"/>
        <c:crosses val="autoZero"/>
        <c:auto val="1"/>
        <c:lblAlgn val="ctr"/>
        <c:lblOffset val="100"/>
        <c:noMultiLvlLbl val="0"/>
      </c:catAx>
      <c:valAx>
        <c:axId val="2063202224"/>
        <c:scaling>
          <c:orientation val="minMax"/>
        </c:scaling>
        <c:delete val="1"/>
        <c:axPos val="l"/>
        <c:numFmt formatCode="_(* #,##0_);_(* \(#,##0\);_(* &quot;-&quot;??_);_(@_)" sourceLinked="1"/>
        <c:majorTickMark val="none"/>
        <c:minorTickMark val="none"/>
        <c:tickLblPos val="nextTo"/>
        <c:crossAx val="19279468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9000">
          <a:schemeClr val="accent1">
            <a:lumMod val="20000"/>
            <a:lumOff val="80000"/>
          </a:schemeClr>
        </a:gs>
        <a:gs pos="53000">
          <a:schemeClr val="accent1">
            <a:lumMod val="0"/>
            <a:lumOff val="100000"/>
          </a:schemeClr>
        </a:gs>
        <a:gs pos="98000">
          <a:schemeClr val="accent1">
            <a:lumMod val="100000"/>
          </a:schemeClr>
        </a:gs>
      </a:gsLst>
      <a:path path="shape">
        <a:fillToRect l="50000" t="50000" r="50000" b="5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Projected FTE &amp; Funded FTE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Enroll!$A$32</c:f>
              <c:strCache>
                <c:ptCount val="1"/>
                <c:pt idx="0">
                  <c:v>Total FTEs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Enroll!$B$2:$K$2</c:f>
              <c:strCache>
                <c:ptCount val="10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  <c:pt idx="5">
                  <c:v>2019-20</c:v>
                </c:pt>
                <c:pt idx="6">
                  <c:v>2020-21</c:v>
                </c:pt>
                <c:pt idx="7">
                  <c:v>2021-22</c:v>
                </c:pt>
                <c:pt idx="8">
                  <c:v>2022-23</c:v>
                </c:pt>
                <c:pt idx="9">
                  <c:v>2023-24</c:v>
                </c:pt>
              </c:strCache>
            </c:strRef>
          </c:cat>
          <c:val>
            <c:numRef>
              <c:f>Enroll!$B$32:$K$32</c:f>
              <c:numCache>
                <c:formatCode>_(* #,##0_);_(* \(#,##0\);_(* "-"??_);_(@_)</c:formatCode>
                <c:ptCount val="10"/>
                <c:pt idx="0">
                  <c:v>5500</c:v>
                </c:pt>
                <c:pt idx="1">
                  <c:v>6000</c:v>
                </c:pt>
                <c:pt idx="2">
                  <c:v>5700</c:v>
                </c:pt>
                <c:pt idx="3">
                  <c:v>5800</c:v>
                </c:pt>
                <c:pt idx="4">
                  <c:v>5968.3049953234313</c:v>
                </c:pt>
                <c:pt idx="5">
                  <c:v>5959.8592059559533</c:v>
                </c:pt>
                <c:pt idx="6">
                  <c:v>5912.7463817651396</c:v>
                </c:pt>
                <c:pt idx="7">
                  <c:v>5891.8814962974338</c:v>
                </c:pt>
                <c:pt idx="8">
                  <c:v>5882.914297942174</c:v>
                </c:pt>
                <c:pt idx="9">
                  <c:v>5879.0643106508869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69-4563-8702-786DFDD4F6FD}"/>
            </c:ext>
          </c:extLst>
        </c:ser>
        <c:ser>
          <c:idx val="16"/>
          <c:order val="1"/>
          <c:tx>
            <c:strRef>
              <c:f>Enroll!$A$50</c:f>
              <c:strCache>
                <c:ptCount val="1"/>
                <c:pt idx="0">
                  <c:v>20-30-50% FTE Average</c:v>
                </c:pt>
              </c:strCache>
            </c:strRef>
          </c:tx>
          <c:spPr>
            <a:solidFill>
              <a:schemeClr val="accent4"/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Enroll!$B$2:$K$2</c:f>
              <c:strCache>
                <c:ptCount val="10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  <c:pt idx="5">
                  <c:v>2019-20</c:v>
                </c:pt>
                <c:pt idx="6">
                  <c:v>2020-21</c:v>
                </c:pt>
                <c:pt idx="7">
                  <c:v>2021-22</c:v>
                </c:pt>
                <c:pt idx="8">
                  <c:v>2022-23</c:v>
                </c:pt>
                <c:pt idx="9">
                  <c:v>2023-24</c:v>
                </c:pt>
              </c:strCache>
            </c:strRef>
          </c:cat>
          <c:val>
            <c:numRef>
              <c:f>Enroll!$B$50:$K$50</c:f>
              <c:numCache>
                <c:formatCode>_(* #,##0_);_(* \(#,##0\);_(* "-"??_);_(@_)</c:formatCode>
                <c:ptCount val="10"/>
                <c:pt idx="0">
                  <c:v>6598.3</c:v>
                </c:pt>
                <c:pt idx="1">
                  <c:v>6369</c:v>
                </c:pt>
                <c:pt idx="2">
                  <c:v>5928.96</c:v>
                </c:pt>
                <c:pt idx="3">
                  <c:v>5750</c:v>
                </c:pt>
                <c:pt idx="4">
                  <c:v>5810</c:v>
                </c:pt>
                <c:pt idx="5">
                  <c:v>5864.1524976617156</c:v>
                </c:pt>
                <c:pt idx="6">
                  <c:v>5930.4211015750061</c:v>
                </c:pt>
                <c:pt idx="7">
                  <c:v>5937.9919517340422</c:v>
                </c:pt>
                <c:pt idx="8">
                  <c:v>5911.7365038694497</c:v>
                </c:pt>
                <c:pt idx="9">
                  <c:v>5891.5708742133456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C69-4563-8702-786DFDD4F6FD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97510736"/>
        <c:axId val="97516224"/>
      </c:barChart>
      <c:catAx>
        <c:axId val="97510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7516224"/>
        <c:crosses val="autoZero"/>
        <c:auto val="1"/>
        <c:lblAlgn val="ctr"/>
        <c:lblOffset val="100"/>
        <c:noMultiLvlLbl val="0"/>
      </c:catAx>
      <c:valAx>
        <c:axId val="97516224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crossAx val="975107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Semester Return Rate (after</a:t>
            </a:r>
            <a:r>
              <a:rPr lang="en-US" b="1" baseline="0"/>
              <a:t> graduations</a:t>
            </a:r>
            <a:r>
              <a:rPr lang="en-US" b="1"/>
              <a:t>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Enroll!$A$43</c:f>
              <c:strCache>
                <c:ptCount val="1"/>
                <c:pt idx="0">
                  <c:v>Return to Fall % (after graduations)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Enroll!$B$2:$F$2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Enroll!$C$43:$F$43</c:f>
              <c:numCache>
                <c:formatCode>0.0%</c:formatCode>
                <c:ptCount val="4"/>
                <c:pt idx="0">
                  <c:v>0.84210526315789469</c:v>
                </c:pt>
                <c:pt idx="1">
                  <c:v>0.8771929824561403</c:v>
                </c:pt>
                <c:pt idx="2">
                  <c:v>0.86177762757688403</c:v>
                </c:pt>
                <c:pt idx="3">
                  <c:v>0.87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13-44DD-9954-CF1B6EF3CEE8}"/>
            </c:ext>
          </c:extLst>
        </c:ser>
        <c:ser>
          <c:idx val="1"/>
          <c:order val="1"/>
          <c:tx>
            <c:strRef>
              <c:f>Enroll!$A$44</c:f>
              <c:strCache>
                <c:ptCount val="1"/>
                <c:pt idx="0">
                  <c:v>Return to Spring % (after graduations)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Pt>
            <c:idx val="3"/>
            <c:invertIfNegative val="0"/>
            <c:bubble3D val="0"/>
            <c:spPr>
              <a:pattFill prst="wdUpDiag">
                <a:fgClr>
                  <a:schemeClr val="accent5"/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CA13-44DD-9954-CF1B6EF3CEE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Enroll!$B$2:$F$2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Enroll!$C$44:$F$44</c:f>
              <c:numCache>
                <c:formatCode>0.0%</c:formatCode>
                <c:ptCount val="4"/>
                <c:pt idx="0">
                  <c:v>0.70370370370370372</c:v>
                </c:pt>
                <c:pt idx="1">
                  <c:v>0.72499999999999998</c:v>
                </c:pt>
                <c:pt idx="2">
                  <c:v>0.72572572572572569</c:v>
                </c:pt>
                <c:pt idx="3">
                  <c:v>0.7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A13-44DD-9954-CF1B6EF3CE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7511912"/>
        <c:axId val="97514656"/>
      </c:barChart>
      <c:catAx>
        <c:axId val="975119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7514656"/>
        <c:crosses val="autoZero"/>
        <c:auto val="1"/>
        <c:lblAlgn val="ctr"/>
        <c:lblOffset val="100"/>
        <c:noMultiLvlLbl val="0"/>
      </c:catAx>
      <c:valAx>
        <c:axId val="97514656"/>
        <c:scaling>
          <c:orientation val="minMax"/>
          <c:min val="0"/>
        </c:scaling>
        <c:delete val="0"/>
        <c:axPos val="l"/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75119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>
      <a:gsLst>
        <a:gs pos="0">
          <a:schemeClr val="accent1">
            <a:lumMod val="0"/>
            <a:lumOff val="100000"/>
          </a:schemeClr>
        </a:gs>
        <a:gs pos="69000">
          <a:schemeClr val="accent1">
            <a:lumMod val="0"/>
            <a:lumOff val="100000"/>
          </a:schemeClr>
        </a:gs>
        <a:gs pos="98000">
          <a:schemeClr val="accent1">
            <a:lumMod val="100000"/>
          </a:schemeClr>
        </a:gs>
      </a:gsLst>
      <a:path path="shape">
        <a:fillToRect l="50000" t="50000" r="50000" b="50000"/>
      </a:path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Percentage Full Time Trend &amp; Assumed Value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Enroll!$A$34</c:f>
              <c:strCache>
                <c:ptCount val="1"/>
                <c:pt idx="0">
                  <c:v>Fall % Full Time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Enroll!$B$2:$G$2</c:f>
              <c:strCache>
                <c:ptCount val="6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  <c:pt idx="5">
                  <c:v>2019-20</c:v>
                </c:pt>
              </c:strCache>
            </c:strRef>
          </c:cat>
          <c:val>
            <c:numRef>
              <c:f>Enroll!$B$34:$F$34</c:f>
              <c:numCache>
                <c:formatCode>0.0%</c:formatCode>
                <c:ptCount val="5"/>
                <c:pt idx="0">
                  <c:v>0.59523809523809523</c:v>
                </c:pt>
                <c:pt idx="1">
                  <c:v>0.61176470588235299</c:v>
                </c:pt>
                <c:pt idx="2">
                  <c:v>0.59523809523809523</c:v>
                </c:pt>
                <c:pt idx="3">
                  <c:v>0.59523809523809523</c:v>
                </c:pt>
                <c:pt idx="4">
                  <c:v>0.57999999999999996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14-4275-BD49-317889633FF7}"/>
            </c:ext>
          </c:extLst>
        </c:ser>
        <c:ser>
          <c:idx val="1"/>
          <c:order val="1"/>
          <c:tx>
            <c:strRef>
              <c:f>Enroll!$A$35</c:f>
              <c:strCache>
                <c:ptCount val="1"/>
                <c:pt idx="0">
                  <c:v>Spring % Full Time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Pt>
            <c:idx val="4"/>
            <c:invertIfNegative val="0"/>
            <c:bubble3D val="0"/>
            <c:spPr>
              <a:pattFill prst="wdUpDiag">
                <a:fgClr>
                  <a:srgbClr val="0070C0"/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F814-4275-BD49-317889633FF7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Enroll!$B$2:$G$2</c:f>
              <c:strCache>
                <c:ptCount val="6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  <c:pt idx="5">
                  <c:v>2019-20</c:v>
                </c:pt>
              </c:strCache>
            </c:strRef>
          </c:cat>
          <c:val>
            <c:numRef>
              <c:f>Enroll!$B$35:$F$35</c:f>
              <c:numCache>
                <c:formatCode>0.0%</c:formatCode>
                <c:ptCount val="5"/>
                <c:pt idx="0">
                  <c:v>0.54545454545454541</c:v>
                </c:pt>
                <c:pt idx="1">
                  <c:v>0.56060606060606055</c:v>
                </c:pt>
                <c:pt idx="2">
                  <c:v>0.52941176470588236</c:v>
                </c:pt>
                <c:pt idx="3">
                  <c:v>0.54285714285714282</c:v>
                </c:pt>
                <c:pt idx="4">
                  <c:v>0.53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814-4275-BD49-317889633F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7512304"/>
        <c:axId val="97509560"/>
      </c:barChart>
      <c:catAx>
        <c:axId val="97512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7509560"/>
        <c:crosses val="autoZero"/>
        <c:auto val="1"/>
        <c:lblAlgn val="ctr"/>
        <c:lblOffset val="100"/>
        <c:noMultiLvlLbl val="0"/>
      </c:catAx>
      <c:valAx>
        <c:axId val="97509560"/>
        <c:scaling>
          <c:orientation val="minMax"/>
          <c:min val="0"/>
        </c:scaling>
        <c:delete val="0"/>
        <c:axPos val="l"/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75123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accent1">
            <a:lumMod val="0"/>
            <a:lumOff val="100000"/>
          </a:schemeClr>
        </a:gs>
        <a:gs pos="69000">
          <a:schemeClr val="accent1">
            <a:lumMod val="0"/>
            <a:lumOff val="100000"/>
          </a:schemeClr>
        </a:gs>
        <a:gs pos="98000">
          <a:schemeClr val="accent1">
            <a:lumMod val="100000"/>
          </a:schemeClr>
        </a:gs>
      </a:gsLst>
      <a:path path="shape">
        <a:fillToRect l="50000" t="50000" r="50000" b="50000"/>
      </a:path>
      <a:tileRect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New Fall Headcount Students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750224647989979E-2"/>
          <c:y val="7.477965036164011E-2"/>
          <c:w val="0.93213923931515119"/>
          <c:h val="0.8117699727579265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Enroll!$A$17</c:f>
              <c:strCache>
                <c:ptCount val="1"/>
                <c:pt idx="0">
                  <c:v>New, first-time students, Fall headcount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Enroll!$B$2:$G$2</c:f>
              <c:strCache>
                <c:ptCount val="6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  <c:pt idx="5">
                  <c:v>2019-20</c:v>
                </c:pt>
              </c:strCache>
            </c:strRef>
          </c:cat>
          <c:val>
            <c:numRef>
              <c:f>Enroll!$B$17:$F$17</c:f>
              <c:numCache>
                <c:formatCode>_(* #,##0_);_(* \(#,##0\);_(* "-"??_);_(@_)</c:formatCode>
                <c:ptCount val="5"/>
                <c:pt idx="0">
                  <c:v>1500</c:v>
                </c:pt>
                <c:pt idx="1">
                  <c:v>1600</c:v>
                </c:pt>
                <c:pt idx="2">
                  <c:v>1800</c:v>
                </c:pt>
                <c:pt idx="3">
                  <c:v>1900</c:v>
                </c:pt>
                <c:pt idx="4">
                  <c:v>1900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3C-4397-8951-8BF21E804B6B}"/>
            </c:ext>
          </c:extLst>
        </c:ser>
        <c:ser>
          <c:idx val="1"/>
          <c:order val="1"/>
          <c:tx>
            <c:strRef>
              <c:f>Enroll!$A$20</c:f>
              <c:strCache>
                <c:ptCount val="1"/>
                <c:pt idx="0">
                  <c:v>Transfer-in students, new in Fall, headcount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Enroll!$B$2:$G$2</c:f>
              <c:strCache>
                <c:ptCount val="6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  <c:pt idx="5">
                  <c:v>2019-20</c:v>
                </c:pt>
              </c:strCache>
            </c:strRef>
          </c:cat>
          <c:val>
            <c:numRef>
              <c:f>Enroll!$B$20:$F$20</c:f>
              <c:numCache>
                <c:formatCode>_(* #,##0_);_(* \(#,##0\);_(* "-"??_);_(@_)</c:formatCode>
                <c:ptCount val="5"/>
                <c:pt idx="0">
                  <c:v>600</c:v>
                </c:pt>
                <c:pt idx="1">
                  <c:v>700</c:v>
                </c:pt>
                <c:pt idx="2">
                  <c:v>600</c:v>
                </c:pt>
                <c:pt idx="3">
                  <c:v>600</c:v>
                </c:pt>
                <c:pt idx="4">
                  <c:v>600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D3C-4397-8951-8BF21E804B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7513088"/>
        <c:axId val="324099000"/>
      </c:barChart>
      <c:catAx>
        <c:axId val="975130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4099000"/>
        <c:crosses val="autoZero"/>
        <c:auto val="1"/>
        <c:lblAlgn val="ctr"/>
        <c:lblOffset val="100"/>
        <c:noMultiLvlLbl val="0"/>
      </c:catAx>
      <c:valAx>
        <c:axId val="324099000"/>
        <c:scaling>
          <c:orientation val="minMax"/>
          <c:min val="0"/>
        </c:scaling>
        <c:delete val="0"/>
        <c:axPos val="l"/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75130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0655815292300711E-2"/>
          <c:y val="0.89348142903408112"/>
          <c:w val="0.8849510061242345"/>
          <c:h val="0.1049510404694018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>
      <a:gsLst>
        <a:gs pos="0">
          <a:schemeClr val="accent1">
            <a:lumMod val="0"/>
            <a:lumOff val="100000"/>
          </a:schemeClr>
        </a:gs>
        <a:gs pos="69000">
          <a:schemeClr val="accent1">
            <a:lumMod val="0"/>
            <a:lumOff val="100000"/>
          </a:schemeClr>
        </a:gs>
        <a:gs pos="98000">
          <a:schemeClr val="accent1">
            <a:lumMod val="100000"/>
          </a:schemeClr>
        </a:gs>
      </a:gsLst>
      <a:path path="shape">
        <a:fillToRect l="50000" t="50000" r="50000" b="50000"/>
      </a:path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Headcount to FTE Ratios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Enroll!$A$37</c:f>
              <c:strCache>
                <c:ptCount val="1"/>
                <c:pt idx="0">
                  <c:v>Fall Fulltime Head/FTE ratio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Enroll!$B$2:$G$2</c:f>
              <c:strCache>
                <c:ptCount val="6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  <c:pt idx="5">
                  <c:v>2019-20</c:v>
                </c:pt>
              </c:strCache>
            </c:strRef>
          </c:cat>
          <c:val>
            <c:numRef>
              <c:f>Enroll!$B$37:$F$37</c:f>
              <c:numCache>
                <c:formatCode>_(* #,##0.00_);_(* \(#,##0.00\);_(* "-"??_);_(@_)</c:formatCode>
                <c:ptCount val="5"/>
                <c:pt idx="0">
                  <c:v>2.5</c:v>
                </c:pt>
                <c:pt idx="1">
                  <c:v>2.4761904761904763</c:v>
                </c:pt>
                <c:pt idx="2">
                  <c:v>2.5</c:v>
                </c:pt>
                <c:pt idx="3">
                  <c:v>2.5</c:v>
                </c:pt>
                <c:pt idx="4">
                  <c:v>2.44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4B-4572-B171-BE7FB63569E6}"/>
            </c:ext>
          </c:extLst>
        </c:ser>
        <c:ser>
          <c:idx val="1"/>
          <c:order val="1"/>
          <c:tx>
            <c:strRef>
              <c:f>Enroll!$A$38</c:f>
              <c:strCache>
                <c:ptCount val="1"/>
                <c:pt idx="0">
                  <c:v>Spring Fulltime Head/FTE ratio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Pt>
            <c:idx val="4"/>
            <c:invertIfNegative val="0"/>
            <c:bubble3D val="0"/>
            <c:spPr>
              <a:pattFill prst="wdUpDiag">
                <a:fgClr>
                  <a:schemeClr val="accent5"/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A54B-4572-B171-BE7FB63569E6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Enroll!$B$2:$G$2</c:f>
              <c:strCache>
                <c:ptCount val="6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  <c:pt idx="5">
                  <c:v>2019-20</c:v>
                </c:pt>
              </c:strCache>
            </c:strRef>
          </c:cat>
          <c:val>
            <c:numRef>
              <c:f>Enroll!$B$38:$F$38</c:f>
              <c:numCache>
                <c:formatCode>_(* #,##0.00_);_(* \(#,##0.00\);_(* "-"??_);_(@_)</c:formatCode>
                <c:ptCount val="5"/>
                <c:pt idx="0">
                  <c:v>2.1176470588235294</c:v>
                </c:pt>
                <c:pt idx="1">
                  <c:v>2.0555555555555554</c:v>
                </c:pt>
                <c:pt idx="2">
                  <c:v>2.1176470588235294</c:v>
                </c:pt>
                <c:pt idx="3">
                  <c:v>2.1111111111111112</c:v>
                </c:pt>
                <c:pt idx="4">
                  <c:v>2.1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54B-4572-B171-BE7FB63569E6}"/>
            </c:ext>
          </c:extLst>
        </c:ser>
        <c:ser>
          <c:idx val="2"/>
          <c:order val="2"/>
          <c:tx>
            <c:strRef>
              <c:f>Enroll!$A$40</c:f>
              <c:strCache>
                <c:ptCount val="1"/>
                <c:pt idx="0">
                  <c:v>Fall Part-time Head/FTE ratio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Enroll!$B$2:$G$2</c:f>
              <c:strCache>
                <c:ptCount val="6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  <c:pt idx="5">
                  <c:v>2019-20</c:v>
                </c:pt>
              </c:strCache>
            </c:strRef>
          </c:cat>
          <c:val>
            <c:numRef>
              <c:f>Enroll!$B$40:$F$40</c:f>
              <c:numCache>
                <c:formatCode>_(* #,##0.00_);_(* \(#,##0.00\);_(* "-"??_);_(@_)</c:formatCode>
                <c:ptCount val="5"/>
                <c:pt idx="0">
                  <c:v>4.8571428571428568</c:v>
                </c:pt>
                <c:pt idx="1">
                  <c:v>4.125</c:v>
                </c:pt>
                <c:pt idx="2">
                  <c:v>4.8571428571428568</c:v>
                </c:pt>
                <c:pt idx="3">
                  <c:v>4.8571428571428568</c:v>
                </c:pt>
                <c:pt idx="4">
                  <c:v>4.9000000000000004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54B-4572-B171-BE7FB63569E6}"/>
            </c:ext>
          </c:extLst>
        </c:ser>
        <c:ser>
          <c:idx val="3"/>
          <c:order val="3"/>
          <c:tx>
            <c:strRef>
              <c:f>Enroll!$A$41</c:f>
              <c:strCache>
                <c:ptCount val="1"/>
                <c:pt idx="0">
                  <c:v>Spring Part-time Head/FTE ratio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Pt>
            <c:idx val="4"/>
            <c:invertIfNegative val="0"/>
            <c:bubble3D val="0"/>
            <c:spPr>
              <a:pattFill prst="wdUpDiag">
                <a:fgClr>
                  <a:schemeClr val="bg1">
                    <a:lumMod val="50000"/>
                  </a:schemeClr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A54B-4572-B171-BE7FB63569E6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Enroll!$B$2:$G$2</c:f>
              <c:strCache>
                <c:ptCount val="6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  <c:pt idx="5">
                  <c:v>2019-20</c:v>
                </c:pt>
              </c:strCache>
            </c:strRef>
          </c:cat>
          <c:val>
            <c:numRef>
              <c:f>Enroll!$B$41:$F$41</c:f>
              <c:numCache>
                <c:formatCode>_(* #,##0.00_);_(* \(#,##0.00\);_(* "-"??_);_(@_)</c:formatCode>
                <c:ptCount val="5"/>
                <c:pt idx="0">
                  <c:v>5</c:v>
                </c:pt>
                <c:pt idx="1">
                  <c:v>4.1428571428571432</c:v>
                </c:pt>
                <c:pt idx="2">
                  <c:v>4.5714285714285712</c:v>
                </c:pt>
                <c:pt idx="3">
                  <c:v>4.5714285714285712</c:v>
                </c:pt>
                <c:pt idx="4">
                  <c:v>4.5999999999999996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54B-4572-B171-BE7FB63569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7510344"/>
        <c:axId val="97511520"/>
      </c:barChart>
      <c:catAx>
        <c:axId val="97510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7511520"/>
        <c:crosses val="autoZero"/>
        <c:auto val="1"/>
        <c:lblAlgn val="ctr"/>
        <c:lblOffset val="100"/>
        <c:noMultiLvlLbl val="0"/>
      </c:catAx>
      <c:valAx>
        <c:axId val="97511520"/>
        <c:scaling>
          <c:orientation val="minMax"/>
          <c:min val="0"/>
        </c:scaling>
        <c:delete val="0"/>
        <c:axPos val="l"/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7510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>
      <a:gsLst>
        <a:gs pos="0">
          <a:schemeClr val="accent1">
            <a:lumMod val="0"/>
            <a:lumOff val="100000"/>
          </a:schemeClr>
        </a:gs>
        <a:gs pos="69000">
          <a:schemeClr val="accent1">
            <a:lumMod val="0"/>
            <a:lumOff val="100000"/>
          </a:schemeClr>
        </a:gs>
        <a:gs pos="98000">
          <a:schemeClr val="accent1">
            <a:lumMod val="100000"/>
          </a:schemeClr>
        </a:gs>
      </a:gsLst>
      <a:path path="shape">
        <a:fillToRect l="50000" t="50000" r="50000" b="50000"/>
      </a:path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BD08F62B-CC82-4C33-8173-1D8EF09962EA}">
  <sheetPr>
    <tabColor rgb="FF3399FF"/>
  </sheetPr>
  <sheetViews>
    <sheetView zoomScale="108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>
    <tabColor rgb="FF3399FF"/>
  </sheetPr>
  <sheetViews>
    <sheetView zoomScale="108" workbookViewId="0" zoomToFit="1"/>
  </sheetViews>
  <pageMargins left="0.7" right="0.7" top="0.75" bottom="0.75" header="0.3" footer="0.3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5A891CC-31F9-42F5-816D-01AC6F8C7D0D}">
  <sheetPr>
    <tabColor rgb="FF3399FF"/>
  </sheetPr>
  <sheetViews>
    <sheetView zoomScale="108" workbookViewId="0" zoomToFit="1"/>
  </sheetViews>
  <pageMargins left="0.7" right="0.7" top="0.75" bottom="0.75" header="0.3" footer="0.3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69026652-98A8-43E3-8610-E78F2E80F796}">
  <sheetPr>
    <tabColor rgb="FF3399FF"/>
  </sheetPr>
  <sheetViews>
    <sheetView zoomScale="108" workbookViewId="0" zoomToFit="1"/>
  </sheetViews>
  <pageMargins left="0.7" right="0.7" top="0.75" bottom="0.75" header="0.3" footer="0.3"/>
  <drawing r:id="rId1"/>
</chartsheet>
</file>

<file path=xl/chartsheets/sheet5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E05C720A-DBE0-4002-9ADE-B656E0DAFBE3}">
  <sheetPr>
    <tabColor rgb="FF3399FF"/>
  </sheetPr>
  <sheetViews>
    <sheetView zoomScale="108" workbookViewId="0" zoomToFit="1"/>
  </sheetViews>
  <pageMargins left="0.7" right="0.7" top="0.75" bottom="0.75" header="0.3" footer="0.3"/>
  <drawing r:id="rId1"/>
</chartsheet>
</file>

<file path=xl/chartsheets/sheet6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27E4EFA4-C1D8-4869-846D-19FCF6434DB1}">
  <sheetPr>
    <tabColor rgb="FF3399FF"/>
  </sheetPr>
  <sheetViews>
    <sheetView zoomScale="108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78333" cy="629708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F877573-879F-4692-BFA7-9EA253F48302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78333" cy="629708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78333" cy="629708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5F90F01-F27D-4A77-B52F-AC849EB1553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8678333" cy="629708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0EBCFE4-57B6-4961-80D1-054544703A6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8671344" cy="629908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9B51C02-FE93-4DA3-BE44-2A09CE48F475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8671344" cy="629908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6813599-0615-4A89-8628-2FCB72A75EA4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1D9ABF-A22B-4334-AB4B-9D7FD19F3D72}">
  <sheetPr>
    <tabColor theme="5" tint="-0.249977111117893"/>
  </sheetPr>
  <dimension ref="A1:T57"/>
  <sheetViews>
    <sheetView tabSelected="1" workbookViewId="0">
      <selection activeCell="B27" sqref="B27"/>
    </sheetView>
  </sheetViews>
  <sheetFormatPr defaultRowHeight="15" x14ac:dyDescent="0.25"/>
  <cols>
    <col min="1" max="1" width="9.42578125" customWidth="1"/>
  </cols>
  <sheetData>
    <row r="1" spans="1:20" x14ac:dyDescent="0.25">
      <c r="A1" s="61"/>
      <c r="B1" s="91" t="s">
        <v>93</v>
      </c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</row>
    <row r="2" spans="1:20" x14ac:dyDescent="0.25">
      <c r="A2" s="65"/>
      <c r="B2" s="61" t="s">
        <v>94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</row>
    <row r="3" spans="1:20" x14ac:dyDescent="0.25">
      <c r="A3" s="66"/>
      <c r="B3" s="61" t="s">
        <v>95</v>
      </c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</row>
    <row r="4" spans="1:20" x14ac:dyDescent="0.25">
      <c r="A4" s="67"/>
      <c r="B4" s="61" t="s">
        <v>96</v>
      </c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</row>
    <row r="5" spans="1:20" x14ac:dyDescent="0.25">
      <c r="A5" s="61"/>
      <c r="B5" s="61"/>
      <c r="C5" s="61" t="s">
        <v>97</v>
      </c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</row>
    <row r="6" spans="1:20" x14ac:dyDescent="0.25">
      <c r="A6" s="61"/>
      <c r="B6" s="61"/>
      <c r="C6" s="61" t="s">
        <v>98</v>
      </c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</row>
    <row r="7" spans="1:20" x14ac:dyDescent="0.25">
      <c r="A7" s="61"/>
      <c r="B7" s="61"/>
      <c r="C7" s="61" t="s">
        <v>99</v>
      </c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 s="61"/>
      <c r="T7" s="61"/>
    </row>
    <row r="8" spans="1:20" x14ac:dyDescent="0.25">
      <c r="A8" s="91" t="s">
        <v>107</v>
      </c>
      <c r="B8" s="61"/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</row>
    <row r="9" spans="1:20" x14ac:dyDescent="0.25">
      <c r="A9" s="61"/>
      <c r="B9" s="61" t="s">
        <v>101</v>
      </c>
      <c r="C9" s="61"/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  <c r="T9" s="61"/>
    </row>
    <row r="10" spans="1:20" x14ac:dyDescent="0.25">
      <c r="A10" s="61"/>
      <c r="B10" s="61" t="s">
        <v>100</v>
      </c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</row>
    <row r="11" spans="1:20" x14ac:dyDescent="0.25">
      <c r="A11" s="61"/>
      <c r="B11" s="61" t="s">
        <v>102</v>
      </c>
      <c r="C11" s="61"/>
      <c r="D11" s="61"/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61"/>
      <c r="P11" s="61"/>
      <c r="Q11" s="61"/>
      <c r="R11" s="61"/>
      <c r="S11" s="61"/>
      <c r="T11" s="61"/>
    </row>
    <row r="12" spans="1:20" x14ac:dyDescent="0.25">
      <c r="A12" s="61"/>
      <c r="B12" s="61" t="s">
        <v>103</v>
      </c>
      <c r="C12" s="61"/>
      <c r="D12" s="61"/>
      <c r="E12" s="61"/>
      <c r="F12" s="61"/>
      <c r="G12" s="61"/>
      <c r="H12" s="61"/>
      <c r="I12" s="61"/>
      <c r="J12" s="61"/>
      <c r="K12" s="61"/>
      <c r="L12" s="61"/>
      <c r="M12" s="61"/>
      <c r="N12" s="61"/>
      <c r="O12" s="61"/>
      <c r="P12" s="61"/>
      <c r="Q12" s="61"/>
      <c r="R12" s="61"/>
      <c r="S12" s="61"/>
      <c r="T12" s="61"/>
    </row>
    <row r="13" spans="1:20" x14ac:dyDescent="0.25">
      <c r="A13" s="61"/>
      <c r="B13" s="61" t="s">
        <v>104</v>
      </c>
      <c r="C13" s="61"/>
      <c r="D13" s="61"/>
      <c r="E13" s="61"/>
      <c r="F13" s="61"/>
      <c r="G13" s="61"/>
      <c r="H13" s="61"/>
      <c r="I13" s="61"/>
      <c r="J13" s="61"/>
      <c r="K13" s="61"/>
      <c r="L13" s="61"/>
      <c r="M13" s="61"/>
      <c r="N13" s="61"/>
      <c r="O13" s="61"/>
      <c r="P13" s="61"/>
      <c r="Q13" s="61"/>
      <c r="R13" s="61"/>
      <c r="S13" s="61"/>
      <c r="T13" s="61"/>
    </row>
    <row r="14" spans="1:20" x14ac:dyDescent="0.25">
      <c r="A14" s="61"/>
      <c r="B14" s="61"/>
      <c r="C14" s="61"/>
      <c r="D14" s="61"/>
      <c r="E14" s="61"/>
      <c r="F14" s="61"/>
      <c r="G14" s="61"/>
      <c r="H14" s="61"/>
      <c r="I14" s="61"/>
      <c r="J14" s="61"/>
      <c r="K14" s="61"/>
      <c r="L14" s="61"/>
      <c r="M14" s="61"/>
      <c r="N14" s="61"/>
      <c r="O14" s="61"/>
      <c r="P14" s="61"/>
      <c r="Q14" s="61"/>
      <c r="R14" s="61"/>
      <c r="S14" s="61"/>
      <c r="T14" s="61"/>
    </row>
    <row r="15" spans="1:20" x14ac:dyDescent="0.25">
      <c r="A15" s="61"/>
      <c r="B15" s="61" t="s">
        <v>105</v>
      </c>
      <c r="C15" s="61"/>
      <c r="D15" s="61"/>
      <c r="E15" s="61"/>
      <c r="F15" s="61"/>
      <c r="G15" s="61"/>
      <c r="H15" s="61"/>
      <c r="I15" s="61"/>
      <c r="J15" s="61"/>
      <c r="K15" s="61"/>
      <c r="L15" s="61"/>
      <c r="M15" s="61"/>
      <c r="N15" s="61"/>
      <c r="O15" s="61"/>
      <c r="P15" s="61"/>
      <c r="Q15" s="61"/>
      <c r="R15" s="61"/>
      <c r="S15" s="61"/>
      <c r="T15" s="61"/>
    </row>
    <row r="16" spans="1:20" x14ac:dyDescent="0.25">
      <c r="A16" s="61"/>
      <c r="B16" s="61" t="s">
        <v>106</v>
      </c>
      <c r="C16" s="61"/>
      <c r="D16" s="61"/>
      <c r="E16" s="61"/>
      <c r="F16" s="61"/>
      <c r="G16" s="61"/>
      <c r="H16" s="61"/>
      <c r="I16" s="61"/>
      <c r="J16" s="61"/>
      <c r="K16" s="61"/>
      <c r="L16" s="61"/>
      <c r="M16" s="61"/>
      <c r="N16" s="61"/>
      <c r="O16" s="61"/>
      <c r="P16" s="61"/>
      <c r="Q16" s="61"/>
      <c r="R16" s="61"/>
      <c r="S16" s="61"/>
      <c r="T16" s="61"/>
    </row>
    <row r="17" spans="1:20" x14ac:dyDescent="0.25">
      <c r="A17" s="61"/>
      <c r="B17" s="61"/>
      <c r="C17" s="61"/>
      <c r="D17" s="61"/>
      <c r="E17" s="61"/>
      <c r="F17" s="61"/>
      <c r="G17" s="61"/>
      <c r="H17" s="61"/>
      <c r="I17" s="61"/>
      <c r="J17" s="61"/>
      <c r="K17" s="61"/>
      <c r="L17" s="61"/>
      <c r="M17" s="61"/>
      <c r="N17" s="61"/>
      <c r="O17" s="61"/>
      <c r="P17" s="61"/>
      <c r="Q17" s="61"/>
      <c r="R17" s="61"/>
      <c r="S17" s="61"/>
      <c r="T17" s="61"/>
    </row>
    <row r="18" spans="1:20" x14ac:dyDescent="0.25">
      <c r="A18" s="61"/>
      <c r="B18" s="61" t="s">
        <v>108</v>
      </c>
      <c r="C18" s="61"/>
      <c r="D18" s="61"/>
      <c r="E18" s="61"/>
      <c r="F18" s="61"/>
      <c r="G18" s="61"/>
      <c r="H18" s="61"/>
      <c r="I18" s="61"/>
      <c r="J18" s="61"/>
      <c r="K18" s="61"/>
      <c r="L18" s="61"/>
      <c r="M18" s="61"/>
      <c r="N18" s="61"/>
      <c r="O18" s="61"/>
      <c r="P18" s="61"/>
      <c r="Q18" s="61"/>
      <c r="R18" s="61"/>
      <c r="S18" s="61"/>
      <c r="T18" s="61"/>
    </row>
    <row r="19" spans="1:20" x14ac:dyDescent="0.25">
      <c r="A19" s="61"/>
      <c r="B19" s="61" t="s">
        <v>110</v>
      </c>
      <c r="C19" s="61"/>
      <c r="D19" s="61"/>
      <c r="E19" s="61"/>
      <c r="F19" s="61"/>
      <c r="G19" s="61"/>
      <c r="H19" s="61"/>
      <c r="I19" s="61"/>
      <c r="J19" s="61"/>
      <c r="K19" s="61"/>
      <c r="L19" s="61"/>
      <c r="M19" s="61"/>
      <c r="N19" s="61"/>
      <c r="O19" s="61"/>
      <c r="P19" s="61"/>
      <c r="Q19" s="61"/>
      <c r="R19" s="61"/>
      <c r="S19" s="61"/>
      <c r="T19" s="61"/>
    </row>
    <row r="20" spans="1:20" x14ac:dyDescent="0.25">
      <c r="A20" s="61"/>
      <c r="B20" s="61"/>
      <c r="C20" s="61" t="s">
        <v>111</v>
      </c>
      <c r="D20" s="61"/>
      <c r="E20" s="61"/>
      <c r="F20" s="61"/>
      <c r="G20" s="61"/>
      <c r="H20" s="61"/>
      <c r="I20" s="61"/>
      <c r="J20" s="61"/>
      <c r="K20" s="61"/>
      <c r="L20" s="61"/>
      <c r="M20" s="61"/>
      <c r="N20" s="61"/>
      <c r="O20" s="61"/>
      <c r="P20" s="61"/>
      <c r="Q20" s="61"/>
      <c r="R20" s="61"/>
      <c r="S20" s="61"/>
      <c r="T20" s="61"/>
    </row>
    <row r="21" spans="1:20" x14ac:dyDescent="0.25">
      <c r="A21" s="61"/>
      <c r="B21" s="61"/>
      <c r="C21" s="61"/>
      <c r="D21" s="61"/>
      <c r="E21" s="61"/>
      <c r="F21" s="61"/>
      <c r="G21" s="61"/>
      <c r="H21" s="61"/>
      <c r="I21" s="61"/>
      <c r="J21" s="61"/>
      <c r="K21" s="61"/>
      <c r="L21" s="61"/>
      <c r="M21" s="61"/>
      <c r="N21" s="61"/>
      <c r="O21" s="61"/>
      <c r="P21" s="61"/>
      <c r="Q21" s="61"/>
      <c r="R21" s="61"/>
      <c r="S21" s="61"/>
      <c r="T21" s="61"/>
    </row>
    <row r="22" spans="1:20" x14ac:dyDescent="0.25">
      <c r="A22" s="91" t="s">
        <v>112</v>
      </c>
      <c r="B22" s="61"/>
      <c r="C22" s="61"/>
      <c r="D22" s="61"/>
      <c r="E22" s="61"/>
      <c r="F22" s="61"/>
      <c r="G22" s="61"/>
      <c r="H22" s="61"/>
      <c r="I22" s="61"/>
      <c r="J22" s="61"/>
      <c r="K22" s="61"/>
      <c r="L22" s="61"/>
      <c r="M22" s="61"/>
      <c r="N22" s="61"/>
      <c r="O22" s="61"/>
      <c r="P22" s="61"/>
      <c r="Q22" s="61"/>
      <c r="R22" s="61"/>
      <c r="S22" s="61"/>
      <c r="T22" s="61"/>
    </row>
    <row r="23" spans="1:20" x14ac:dyDescent="0.25">
      <c r="A23" s="61"/>
      <c r="B23" s="61" t="s">
        <v>113</v>
      </c>
      <c r="C23" s="61"/>
      <c r="D23" s="61"/>
      <c r="E23" s="61"/>
      <c r="F23" s="61"/>
      <c r="G23" s="61"/>
      <c r="H23" s="61"/>
      <c r="I23" s="61"/>
      <c r="J23" s="61"/>
      <c r="K23" s="61"/>
      <c r="L23" s="61"/>
      <c r="M23" s="61"/>
      <c r="N23" s="61"/>
      <c r="O23" s="61"/>
      <c r="P23" s="61"/>
      <c r="Q23" s="61"/>
      <c r="R23" s="61"/>
      <c r="S23" s="61"/>
      <c r="T23" s="61"/>
    </row>
    <row r="24" spans="1:20" x14ac:dyDescent="0.25">
      <c r="A24" s="61"/>
      <c r="B24" s="61" t="s">
        <v>123</v>
      </c>
      <c r="C24" s="61"/>
      <c r="D24" s="61"/>
      <c r="E24" s="61"/>
      <c r="F24" s="61"/>
      <c r="G24" s="61"/>
      <c r="H24" s="61"/>
      <c r="I24" s="61"/>
      <c r="J24" s="61"/>
      <c r="K24" s="61"/>
      <c r="L24" s="61"/>
      <c r="M24" s="61"/>
      <c r="N24" s="61"/>
      <c r="O24" s="61"/>
      <c r="P24" s="61"/>
      <c r="Q24" s="61"/>
      <c r="R24" s="61"/>
      <c r="S24" s="61"/>
      <c r="T24" s="61"/>
    </row>
    <row r="25" spans="1:20" x14ac:dyDescent="0.25">
      <c r="A25" s="61"/>
      <c r="B25" s="61" t="s">
        <v>114</v>
      </c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</row>
    <row r="26" spans="1:20" x14ac:dyDescent="0.25">
      <c r="A26" s="61"/>
      <c r="B26" s="61" t="s">
        <v>124</v>
      </c>
      <c r="C26" s="61"/>
      <c r="D26" s="61"/>
      <c r="E26" s="61"/>
      <c r="F26" s="61"/>
      <c r="G26" s="61"/>
      <c r="H26" s="61"/>
      <c r="I26" s="61"/>
      <c r="J26" s="61"/>
      <c r="K26" s="61"/>
      <c r="L26" s="61"/>
      <c r="M26" s="61"/>
      <c r="N26" s="61"/>
      <c r="O26" s="61"/>
      <c r="P26" s="61"/>
      <c r="Q26" s="61"/>
      <c r="R26" s="61"/>
      <c r="S26" s="61"/>
      <c r="T26" s="61"/>
    </row>
    <row r="27" spans="1:20" x14ac:dyDescent="0.25">
      <c r="A27" s="61"/>
      <c r="B27" s="61" t="s">
        <v>125</v>
      </c>
      <c r="C27" s="61"/>
      <c r="D27" s="61"/>
      <c r="E27" s="61"/>
      <c r="F27" s="61"/>
      <c r="G27" s="61"/>
      <c r="H27" s="61"/>
      <c r="I27" s="61"/>
      <c r="J27" s="61"/>
      <c r="K27" s="61"/>
      <c r="L27" s="61"/>
      <c r="M27" s="61"/>
      <c r="N27" s="61"/>
      <c r="O27" s="61"/>
      <c r="P27" s="61"/>
      <c r="Q27" s="61"/>
      <c r="R27" s="61"/>
      <c r="S27" s="61"/>
      <c r="T27" s="61"/>
    </row>
    <row r="28" spans="1:20" x14ac:dyDescent="0.25">
      <c r="A28" s="61"/>
      <c r="B28" s="61"/>
      <c r="C28" s="61"/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</row>
    <row r="29" spans="1:20" x14ac:dyDescent="0.25">
      <c r="A29" s="91" t="s">
        <v>115</v>
      </c>
      <c r="B29" s="61"/>
      <c r="C29" s="61"/>
      <c r="D29" s="61"/>
      <c r="E29" s="61"/>
      <c r="F29" s="61"/>
      <c r="G29" s="61"/>
      <c r="H29" s="61"/>
      <c r="I29" s="61"/>
      <c r="J29" s="61"/>
      <c r="K29" s="61"/>
      <c r="L29" s="61"/>
      <c r="M29" s="61"/>
      <c r="N29" s="61"/>
      <c r="O29" s="61"/>
      <c r="P29" s="61"/>
      <c r="Q29" s="61"/>
      <c r="R29" s="61"/>
      <c r="S29" s="61"/>
      <c r="T29" s="61"/>
    </row>
    <row r="30" spans="1:20" x14ac:dyDescent="0.25">
      <c r="A30" s="61"/>
      <c r="B30" s="61" t="s">
        <v>116</v>
      </c>
      <c r="C30" s="61"/>
      <c r="D30" s="61"/>
      <c r="E30" s="61"/>
      <c r="F30" s="61"/>
      <c r="G30" s="61"/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61"/>
      <c r="T30" s="61"/>
    </row>
    <row r="31" spans="1:20" x14ac:dyDescent="0.25">
      <c r="A31" s="61"/>
      <c r="B31" s="61" t="s">
        <v>121</v>
      </c>
      <c r="C31" s="61"/>
      <c r="D31" s="61"/>
      <c r="E31" s="61"/>
      <c r="F31" s="61"/>
      <c r="G31" s="61"/>
      <c r="H31" s="61"/>
      <c r="I31" s="61"/>
      <c r="J31" s="61"/>
      <c r="K31" s="61"/>
      <c r="L31" s="61"/>
      <c r="M31" s="61"/>
      <c r="N31" s="61"/>
      <c r="O31" s="61"/>
      <c r="P31" s="61"/>
      <c r="Q31" s="61"/>
      <c r="R31" s="61"/>
      <c r="S31" s="61"/>
      <c r="T31" s="61"/>
    </row>
    <row r="32" spans="1:20" x14ac:dyDescent="0.25">
      <c r="A32" s="61"/>
      <c r="B32" s="61" t="s">
        <v>122</v>
      </c>
      <c r="C32" s="61"/>
      <c r="D32" s="61"/>
      <c r="E32" s="61"/>
      <c r="F32" s="61"/>
      <c r="G32" s="61"/>
      <c r="H32" s="61"/>
      <c r="I32" s="61"/>
      <c r="J32" s="61"/>
      <c r="K32" s="61"/>
      <c r="L32" s="61"/>
      <c r="M32" s="61"/>
      <c r="N32" s="61"/>
      <c r="O32" s="61"/>
      <c r="P32" s="61"/>
      <c r="Q32" s="61"/>
      <c r="R32" s="61"/>
      <c r="S32" s="61"/>
      <c r="T32" s="61"/>
    </row>
    <row r="33" spans="1:20" x14ac:dyDescent="0.25">
      <c r="A33" s="61"/>
      <c r="B33" s="61"/>
      <c r="C33" s="61"/>
      <c r="D33" s="61"/>
      <c r="E33" s="61"/>
      <c r="F33" s="61"/>
      <c r="G33" s="61"/>
      <c r="H33" s="61"/>
      <c r="I33" s="61"/>
      <c r="J33" s="61"/>
      <c r="K33" s="61"/>
      <c r="L33" s="61"/>
      <c r="M33" s="61"/>
      <c r="N33" s="61"/>
      <c r="O33" s="61"/>
      <c r="P33" s="61"/>
      <c r="Q33" s="61"/>
      <c r="R33" s="61"/>
      <c r="S33" s="61"/>
      <c r="T33" s="61"/>
    </row>
    <row r="34" spans="1:20" x14ac:dyDescent="0.25">
      <c r="A34" s="61"/>
      <c r="B34" s="61"/>
      <c r="C34" s="61"/>
      <c r="D34" s="61"/>
      <c r="E34" s="61"/>
      <c r="F34" s="61"/>
      <c r="G34" s="61"/>
      <c r="H34" s="61"/>
      <c r="I34" s="61"/>
      <c r="J34" s="61"/>
      <c r="K34" s="61"/>
      <c r="L34" s="61"/>
      <c r="M34" s="61"/>
      <c r="N34" s="61"/>
      <c r="O34" s="61"/>
      <c r="P34" s="61"/>
      <c r="Q34" s="61"/>
      <c r="R34" s="61"/>
      <c r="S34" s="61"/>
      <c r="T34" s="61"/>
    </row>
    <row r="35" spans="1:20" x14ac:dyDescent="0.25">
      <c r="A35" s="61"/>
      <c r="B35" s="61"/>
      <c r="C35" s="61"/>
      <c r="D35" s="61"/>
      <c r="E35" s="61"/>
      <c r="F35" s="61"/>
      <c r="G35" s="61"/>
      <c r="H35" s="61"/>
      <c r="I35" s="61"/>
      <c r="J35" s="61"/>
      <c r="K35" s="61"/>
      <c r="L35" s="61"/>
      <c r="M35" s="61"/>
      <c r="N35" s="61"/>
      <c r="O35" s="61"/>
      <c r="P35" s="61"/>
      <c r="Q35" s="61"/>
      <c r="R35" s="61"/>
      <c r="S35" s="61"/>
      <c r="T35" s="61"/>
    </row>
    <row r="36" spans="1:20" x14ac:dyDescent="0.25">
      <c r="A36" s="61"/>
      <c r="B36" s="61"/>
      <c r="C36" s="61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61"/>
      <c r="T36" s="61"/>
    </row>
    <row r="37" spans="1:20" x14ac:dyDescent="0.25">
      <c r="A37" s="61"/>
      <c r="B37" s="61"/>
      <c r="C37" s="61"/>
      <c r="D37" s="61"/>
      <c r="E37" s="61"/>
      <c r="F37" s="61"/>
      <c r="G37" s="61"/>
      <c r="H37" s="61"/>
      <c r="I37" s="61"/>
      <c r="J37" s="61"/>
      <c r="K37" s="61"/>
      <c r="L37" s="61"/>
      <c r="M37" s="61"/>
      <c r="N37" s="61"/>
      <c r="O37" s="61"/>
      <c r="P37" s="61"/>
      <c r="Q37" s="61"/>
      <c r="R37" s="61"/>
      <c r="S37" s="61"/>
      <c r="T37" s="61"/>
    </row>
    <row r="38" spans="1:20" x14ac:dyDescent="0.25">
      <c r="A38" s="61"/>
      <c r="B38" s="61"/>
      <c r="C38" s="61"/>
      <c r="D38" s="61"/>
      <c r="E38" s="61"/>
      <c r="F38" s="61"/>
      <c r="G38" s="61"/>
      <c r="H38" s="61"/>
      <c r="I38" s="61"/>
      <c r="J38" s="61"/>
      <c r="K38" s="61"/>
      <c r="L38" s="61"/>
      <c r="M38" s="61"/>
      <c r="N38" s="61"/>
      <c r="O38" s="61"/>
      <c r="P38" s="61"/>
      <c r="Q38" s="61"/>
      <c r="R38" s="61"/>
      <c r="S38" s="61"/>
      <c r="T38" s="61"/>
    </row>
    <row r="39" spans="1:20" x14ac:dyDescent="0.25">
      <c r="A39" s="61"/>
      <c r="B39" s="61"/>
      <c r="C39" s="61"/>
      <c r="D39" s="61"/>
      <c r="E39" s="61"/>
      <c r="F39" s="61"/>
      <c r="G39" s="61"/>
      <c r="H39" s="61"/>
      <c r="I39" s="61"/>
      <c r="J39" s="61"/>
      <c r="K39" s="61"/>
      <c r="L39" s="61"/>
      <c r="M39" s="61"/>
      <c r="N39" s="61"/>
      <c r="O39" s="61"/>
      <c r="P39" s="61"/>
      <c r="Q39" s="61"/>
      <c r="R39" s="61"/>
      <c r="S39" s="61"/>
      <c r="T39" s="61"/>
    </row>
    <row r="40" spans="1:20" x14ac:dyDescent="0.25">
      <c r="A40" s="61"/>
      <c r="B40" s="61"/>
      <c r="C40" s="61"/>
      <c r="D40" s="61"/>
      <c r="E40" s="61"/>
      <c r="F40" s="61"/>
      <c r="G40" s="61"/>
      <c r="H40" s="61"/>
      <c r="I40" s="61"/>
      <c r="J40" s="61"/>
      <c r="K40" s="61"/>
      <c r="L40" s="61"/>
      <c r="M40" s="61"/>
      <c r="N40" s="61"/>
      <c r="O40" s="61"/>
      <c r="P40" s="61"/>
      <c r="Q40" s="61"/>
      <c r="R40" s="61"/>
      <c r="S40" s="61"/>
      <c r="T40" s="61"/>
    </row>
    <row r="41" spans="1:20" x14ac:dyDescent="0.25">
      <c r="A41" s="61"/>
      <c r="B41" s="61"/>
      <c r="C41" s="61"/>
      <c r="D41" s="61"/>
      <c r="E41" s="61"/>
      <c r="F41" s="61"/>
      <c r="G41" s="61"/>
      <c r="H41" s="61"/>
      <c r="I41" s="61"/>
      <c r="J41" s="61"/>
      <c r="K41" s="61"/>
      <c r="L41" s="61"/>
      <c r="M41" s="61"/>
      <c r="N41" s="61"/>
      <c r="O41" s="61"/>
      <c r="P41" s="61"/>
      <c r="Q41" s="61"/>
      <c r="R41" s="61"/>
      <c r="S41" s="61"/>
      <c r="T41" s="61"/>
    </row>
    <row r="42" spans="1:20" x14ac:dyDescent="0.25">
      <c r="A42" s="61"/>
      <c r="B42" s="61"/>
      <c r="C42" s="61"/>
      <c r="D42" s="61"/>
      <c r="E42" s="61"/>
      <c r="F42" s="61"/>
      <c r="G42" s="61"/>
      <c r="H42" s="61"/>
      <c r="I42" s="61"/>
      <c r="J42" s="61"/>
      <c r="K42" s="61"/>
      <c r="L42" s="61"/>
      <c r="M42" s="61"/>
      <c r="N42" s="61"/>
      <c r="O42" s="61"/>
      <c r="P42" s="61"/>
      <c r="Q42" s="61"/>
      <c r="R42" s="61"/>
      <c r="S42" s="61"/>
      <c r="T42" s="61"/>
    </row>
    <row r="43" spans="1:20" x14ac:dyDescent="0.25">
      <c r="A43" s="61"/>
      <c r="B43" s="61"/>
      <c r="C43" s="61"/>
      <c r="D43" s="61"/>
      <c r="E43" s="61"/>
      <c r="F43" s="61"/>
      <c r="G43" s="61"/>
      <c r="H43" s="61"/>
      <c r="I43" s="61"/>
      <c r="J43" s="61"/>
      <c r="K43" s="61"/>
      <c r="L43" s="61"/>
      <c r="M43" s="61"/>
      <c r="N43" s="61"/>
      <c r="O43" s="61"/>
      <c r="P43" s="61"/>
      <c r="Q43" s="61"/>
      <c r="R43" s="61"/>
      <c r="S43" s="61"/>
      <c r="T43" s="61"/>
    </row>
    <row r="44" spans="1:20" x14ac:dyDescent="0.25">
      <c r="A44" s="61"/>
      <c r="B44" s="61"/>
      <c r="C44" s="61"/>
      <c r="D44" s="61"/>
      <c r="E44" s="61"/>
      <c r="F44" s="61"/>
      <c r="G44" s="61"/>
      <c r="H44" s="61"/>
      <c r="I44" s="61"/>
      <c r="J44" s="61"/>
      <c r="K44" s="61"/>
      <c r="L44" s="61"/>
      <c r="M44" s="61"/>
      <c r="N44" s="61"/>
      <c r="O44" s="61"/>
      <c r="P44" s="61"/>
      <c r="Q44" s="61"/>
      <c r="R44" s="61"/>
      <c r="S44" s="61"/>
      <c r="T44" s="61"/>
    </row>
    <row r="45" spans="1:20" x14ac:dyDescent="0.25">
      <c r="A45" s="61"/>
      <c r="B45" s="61"/>
      <c r="C45" s="61"/>
      <c r="D45" s="61"/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</row>
    <row r="46" spans="1:20" x14ac:dyDescent="0.25">
      <c r="A46" s="61"/>
      <c r="B46" s="61"/>
      <c r="C46" s="61"/>
      <c r="D46" s="61"/>
      <c r="E46" s="61"/>
      <c r="F46" s="61"/>
      <c r="G46" s="61"/>
      <c r="H46" s="61"/>
      <c r="I46" s="61"/>
      <c r="J46" s="61"/>
      <c r="K46" s="61"/>
      <c r="L46" s="61"/>
      <c r="M46" s="61"/>
      <c r="N46" s="61"/>
      <c r="O46" s="61"/>
      <c r="P46" s="61"/>
      <c r="Q46" s="61"/>
      <c r="R46" s="61"/>
      <c r="S46" s="61"/>
      <c r="T46" s="61"/>
    </row>
    <row r="47" spans="1:20" x14ac:dyDescent="0.25">
      <c r="A47" s="61"/>
      <c r="B47" s="61"/>
      <c r="C47" s="61"/>
      <c r="D47" s="61"/>
      <c r="E47" s="61"/>
      <c r="F47" s="61"/>
      <c r="G47" s="61"/>
      <c r="H47" s="61"/>
      <c r="I47" s="61"/>
      <c r="J47" s="61"/>
      <c r="K47" s="61"/>
      <c r="L47" s="61"/>
      <c r="M47" s="61"/>
      <c r="N47" s="61"/>
      <c r="O47" s="61"/>
      <c r="P47" s="61"/>
      <c r="Q47" s="61"/>
      <c r="R47" s="61"/>
      <c r="S47" s="61"/>
      <c r="T47" s="61"/>
    </row>
    <row r="48" spans="1:20" x14ac:dyDescent="0.25">
      <c r="A48" s="61"/>
      <c r="B48" s="61"/>
      <c r="C48" s="61"/>
      <c r="D48" s="61"/>
      <c r="E48" s="61"/>
      <c r="F48" s="61"/>
      <c r="G48" s="61"/>
      <c r="H48" s="61"/>
      <c r="I48" s="61"/>
      <c r="J48" s="61"/>
      <c r="K48" s="61"/>
      <c r="L48" s="61"/>
      <c r="M48" s="61"/>
      <c r="N48" s="61"/>
      <c r="O48" s="61"/>
      <c r="P48" s="61"/>
      <c r="Q48" s="61"/>
      <c r="R48" s="61"/>
      <c r="S48" s="61"/>
      <c r="T48" s="61"/>
    </row>
    <row r="49" spans="1:20" x14ac:dyDescent="0.25">
      <c r="A49" s="61"/>
      <c r="B49" s="61"/>
      <c r="C49" s="61"/>
      <c r="D49" s="61"/>
      <c r="E49" s="61"/>
      <c r="F49" s="61"/>
      <c r="G49" s="61"/>
      <c r="H49" s="61"/>
      <c r="I49" s="61"/>
      <c r="J49" s="61"/>
      <c r="K49" s="61"/>
      <c r="L49" s="61"/>
      <c r="M49" s="61"/>
      <c r="N49" s="61"/>
      <c r="O49" s="61"/>
      <c r="P49" s="61"/>
      <c r="Q49" s="61"/>
      <c r="R49" s="61"/>
      <c r="S49" s="61"/>
      <c r="T49" s="61"/>
    </row>
    <row r="50" spans="1:20" x14ac:dyDescent="0.25">
      <c r="A50" s="61"/>
      <c r="B50" s="61"/>
      <c r="C50" s="61"/>
      <c r="D50" s="61"/>
      <c r="E50" s="61"/>
      <c r="F50" s="61"/>
      <c r="G50" s="61"/>
      <c r="H50" s="61"/>
      <c r="I50" s="61"/>
      <c r="J50" s="61"/>
      <c r="K50" s="61"/>
      <c r="L50" s="61"/>
      <c r="M50" s="61"/>
      <c r="N50" s="61"/>
      <c r="O50" s="61"/>
      <c r="P50" s="61"/>
      <c r="Q50" s="61"/>
      <c r="R50" s="61"/>
      <c r="S50" s="61"/>
      <c r="T50" s="61"/>
    </row>
    <row r="51" spans="1:20" x14ac:dyDescent="0.25">
      <c r="A51" s="61"/>
      <c r="B51" s="61"/>
      <c r="C51" s="61"/>
      <c r="D51" s="61"/>
      <c r="E51" s="61"/>
      <c r="F51" s="61"/>
      <c r="G51" s="61"/>
      <c r="H51" s="61"/>
      <c r="I51" s="61"/>
      <c r="J51" s="61"/>
      <c r="K51" s="61"/>
      <c r="L51" s="61"/>
      <c r="M51" s="61"/>
      <c r="N51" s="61"/>
      <c r="O51" s="61"/>
      <c r="P51" s="61"/>
      <c r="Q51" s="61"/>
      <c r="R51" s="61"/>
      <c r="S51" s="61"/>
      <c r="T51" s="61"/>
    </row>
    <row r="52" spans="1:20" x14ac:dyDescent="0.25">
      <c r="A52" s="61"/>
      <c r="B52" s="61"/>
      <c r="C52" s="61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1"/>
    </row>
    <row r="53" spans="1:20" x14ac:dyDescent="0.25">
      <c r="A53" s="61"/>
      <c r="B53" s="61"/>
      <c r="C53" s="61"/>
      <c r="D53" s="61"/>
      <c r="E53" s="61"/>
      <c r="F53" s="61"/>
      <c r="G53" s="61"/>
      <c r="H53" s="61"/>
      <c r="I53" s="61"/>
      <c r="J53" s="61"/>
      <c r="K53" s="61"/>
      <c r="L53" s="61"/>
      <c r="M53" s="61"/>
      <c r="N53" s="61"/>
      <c r="O53" s="61"/>
      <c r="P53" s="61"/>
      <c r="Q53" s="61"/>
      <c r="R53" s="61"/>
      <c r="S53" s="61"/>
      <c r="T53" s="61"/>
    </row>
    <row r="54" spans="1:20" x14ac:dyDescent="0.25">
      <c r="A54" s="61"/>
      <c r="B54" s="61"/>
      <c r="C54" s="61"/>
      <c r="D54" s="61"/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</row>
    <row r="55" spans="1:20" x14ac:dyDescent="0.25">
      <c r="A55" s="61"/>
      <c r="B55" s="61"/>
      <c r="C55" s="61"/>
      <c r="D55" s="61"/>
      <c r="E55" s="61"/>
      <c r="F55" s="61"/>
      <c r="G55" s="61"/>
      <c r="H55" s="61"/>
      <c r="I55" s="61"/>
      <c r="J55" s="61"/>
      <c r="K55" s="61"/>
      <c r="L55" s="61"/>
      <c r="M55" s="61"/>
      <c r="N55" s="61"/>
      <c r="O55" s="61"/>
      <c r="P55" s="61"/>
      <c r="Q55" s="61"/>
      <c r="R55" s="61"/>
      <c r="S55" s="61"/>
      <c r="T55" s="61"/>
    </row>
    <row r="56" spans="1:20" x14ac:dyDescent="0.25">
      <c r="A56" s="61"/>
      <c r="B56" s="61"/>
      <c r="C56" s="61"/>
      <c r="D56" s="61"/>
      <c r="E56" s="61"/>
      <c r="F56" s="61"/>
      <c r="G56" s="61"/>
      <c r="H56" s="61"/>
      <c r="I56" s="61"/>
      <c r="J56" s="61"/>
      <c r="K56" s="61"/>
      <c r="L56" s="61"/>
      <c r="M56" s="61"/>
      <c r="N56" s="61"/>
      <c r="O56" s="61"/>
      <c r="P56" s="61"/>
      <c r="Q56" s="61"/>
      <c r="R56" s="61"/>
      <c r="S56" s="61"/>
      <c r="T56" s="61"/>
    </row>
    <row r="57" spans="1:20" x14ac:dyDescent="0.25">
      <c r="A57" s="61"/>
      <c r="B57" s="61"/>
      <c r="C57" s="61"/>
      <c r="D57" s="61"/>
      <c r="E57" s="61"/>
      <c r="F57" s="61"/>
      <c r="G57" s="61"/>
      <c r="H57" s="61"/>
      <c r="I57" s="61"/>
      <c r="J57" s="61"/>
      <c r="K57" s="61"/>
      <c r="L57" s="61"/>
      <c r="M57" s="61"/>
      <c r="N57" s="61"/>
      <c r="O57" s="61"/>
      <c r="P57" s="61"/>
      <c r="Q57" s="61"/>
      <c r="R57" s="61"/>
      <c r="S57" s="61"/>
      <c r="T57" s="6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Q67"/>
  <sheetViews>
    <sheetView workbookViewId="0">
      <selection activeCell="F15" sqref="F15"/>
    </sheetView>
  </sheetViews>
  <sheetFormatPr defaultRowHeight="15" x14ac:dyDescent="0.25"/>
  <cols>
    <col min="1" max="1" width="40.5703125" style="1" customWidth="1"/>
    <col min="2" max="7" width="11.7109375" style="1" customWidth="1"/>
    <col min="8" max="8" width="11.42578125" style="1" customWidth="1"/>
    <col min="9" max="11" width="12.28515625" style="1" customWidth="1"/>
    <col min="12" max="12" width="12.5703125" style="1" customWidth="1"/>
    <col min="13" max="16384" width="9.140625" style="1"/>
  </cols>
  <sheetData>
    <row r="1" spans="1:17" s="7" customFormat="1" x14ac:dyDescent="0.25">
      <c r="A1" s="78" t="s">
        <v>77</v>
      </c>
      <c r="B1" s="57" t="s">
        <v>12</v>
      </c>
      <c r="C1" s="57"/>
      <c r="D1" s="57"/>
      <c r="E1" s="58" t="s">
        <v>10</v>
      </c>
      <c r="F1" s="57" t="s">
        <v>13</v>
      </c>
      <c r="G1" s="57"/>
      <c r="H1" s="57"/>
      <c r="I1" s="57"/>
      <c r="J1" s="57"/>
      <c r="K1" s="57"/>
      <c r="L1" s="72"/>
      <c r="M1" s="73"/>
      <c r="N1" s="73"/>
      <c r="O1" s="73"/>
      <c r="P1" s="73"/>
      <c r="Q1" s="73"/>
    </row>
    <row r="2" spans="1:17" x14ac:dyDescent="0.25">
      <c r="A2" s="79"/>
      <c r="B2" s="58" t="s">
        <v>0</v>
      </c>
      <c r="C2" s="58" t="s">
        <v>1</v>
      </c>
      <c r="D2" s="58" t="s">
        <v>2</v>
      </c>
      <c r="E2" s="58" t="s">
        <v>3</v>
      </c>
      <c r="F2" s="58" t="s">
        <v>4</v>
      </c>
      <c r="G2" s="58" t="s">
        <v>5</v>
      </c>
      <c r="H2" s="58" t="s">
        <v>6</v>
      </c>
      <c r="I2" s="58" t="s">
        <v>7</v>
      </c>
      <c r="J2" s="58" t="s">
        <v>8</v>
      </c>
      <c r="K2" s="58" t="s">
        <v>9</v>
      </c>
      <c r="L2" s="74"/>
      <c r="M2" s="60"/>
      <c r="N2" s="60"/>
      <c r="O2" s="60"/>
      <c r="P2" s="60"/>
      <c r="Q2" s="60"/>
    </row>
    <row r="3" spans="1:17" x14ac:dyDescent="0.25">
      <c r="A3" s="80" t="s">
        <v>119</v>
      </c>
      <c r="B3" s="10">
        <f>Enroll!B57</f>
        <v>21450000</v>
      </c>
      <c r="C3" s="10">
        <f>Enroll!C57</f>
        <v>23400000</v>
      </c>
      <c r="D3" s="10">
        <f>Enroll!D57</f>
        <v>22800000</v>
      </c>
      <c r="E3" s="10">
        <f>Enroll!E57</f>
        <v>23582800</v>
      </c>
      <c r="F3" s="10">
        <f>Enroll!F57</f>
        <v>24873806.313759696</v>
      </c>
      <c r="G3" s="10">
        <f>Enroll!G57</f>
        <v>25459572.400194883</v>
      </c>
      <c r="H3" s="10">
        <f>Enroll!H57</f>
        <v>25889771.741772883</v>
      </c>
      <c r="I3" s="10">
        <f>Enroll!I57</f>
        <v>26443372.275804844</v>
      </c>
      <c r="J3" s="10">
        <f>Enroll!J57</f>
        <v>27063204.728153784</v>
      </c>
      <c r="K3" s="10">
        <f>Enroll!K57</f>
        <v>27721630.949545145</v>
      </c>
      <c r="L3" s="60"/>
      <c r="M3" s="60"/>
      <c r="N3" s="60"/>
      <c r="O3" s="60"/>
      <c r="P3" s="60"/>
      <c r="Q3" s="60"/>
    </row>
    <row r="4" spans="1:17" x14ac:dyDescent="0.25">
      <c r="A4" s="80" t="s">
        <v>69</v>
      </c>
      <c r="B4" s="10">
        <f>Enroll!B58</f>
        <v>16825665</v>
      </c>
      <c r="C4" s="10">
        <f>Enroll!C58</f>
        <v>16240950</v>
      </c>
      <c r="D4" s="10">
        <f>Enroll!D58</f>
        <v>15600000</v>
      </c>
      <c r="E4" s="10">
        <f>Enroll!E58</f>
        <v>16100000</v>
      </c>
      <c r="F4" s="10">
        <f>Enroll!F58</f>
        <v>16593360</v>
      </c>
      <c r="G4" s="10">
        <f>Enroll!G58</f>
        <v>17386388.647976592</v>
      </c>
      <c r="H4" s="10">
        <f>Enroll!H58</f>
        <v>17709020.751055494</v>
      </c>
      <c r="I4" s="10">
        <f>Enroll!I58</f>
        <v>17996925.672258664</v>
      </c>
      <c r="J4" s="10">
        <f>Enroll!J58</f>
        <v>18275697.40499704</v>
      </c>
      <c r="K4" s="10">
        <f>Enroll!K58</f>
        <v>18577623.985114381</v>
      </c>
      <c r="L4" s="60"/>
      <c r="M4" s="60"/>
      <c r="N4" s="60"/>
      <c r="O4" s="60"/>
      <c r="P4" s="60"/>
      <c r="Q4" s="60"/>
    </row>
    <row r="5" spans="1:17" x14ac:dyDescent="0.25">
      <c r="A5" s="80" t="s">
        <v>76</v>
      </c>
      <c r="B5" s="36">
        <v>16500000</v>
      </c>
      <c r="C5" s="36">
        <v>16700000</v>
      </c>
      <c r="D5" s="36">
        <v>16900000</v>
      </c>
      <c r="E5" s="36">
        <v>17400000</v>
      </c>
      <c r="F5" s="10">
        <f>E5*(1+$F35)</f>
        <v>17748000</v>
      </c>
      <c r="G5" s="10">
        <f>F5*(1+$F35)</f>
        <v>18102960</v>
      </c>
      <c r="H5" s="10">
        <f>G5*(1+$F35)</f>
        <v>18465019.199999999</v>
      </c>
      <c r="I5" s="10">
        <f>H5*(1+$F35)</f>
        <v>18834319.583999999</v>
      </c>
      <c r="J5" s="10">
        <f>I5*(1+$F35)</f>
        <v>19211005.975679997</v>
      </c>
      <c r="K5" s="10">
        <f>J5*(1+$F35)</f>
        <v>19595226.095193598</v>
      </c>
      <c r="L5" s="60"/>
      <c r="M5" s="60"/>
      <c r="N5" s="60"/>
      <c r="O5" s="60"/>
      <c r="P5" s="60"/>
      <c r="Q5" s="60"/>
    </row>
    <row r="6" spans="1:17" ht="15.75" thickBot="1" x14ac:dyDescent="0.3">
      <c r="A6" s="80" t="s">
        <v>117</v>
      </c>
      <c r="B6" s="37">
        <v>5000000</v>
      </c>
      <c r="C6" s="37">
        <v>6000000</v>
      </c>
      <c r="D6" s="37">
        <v>6500000</v>
      </c>
      <c r="E6" s="37">
        <v>6600000</v>
      </c>
      <c r="F6" s="19">
        <f>E6*(1+$F36)</f>
        <v>6798000</v>
      </c>
      <c r="G6" s="19">
        <f>F6*(1+$F36)</f>
        <v>7001940</v>
      </c>
      <c r="H6" s="19">
        <f>G6*(1+$F36)</f>
        <v>7211998.2000000002</v>
      </c>
      <c r="I6" s="19">
        <f>H6*(1+$F36)</f>
        <v>7428358.1460000006</v>
      </c>
      <c r="J6" s="19">
        <f>I6*(1+$F36)</f>
        <v>7651208.8903800007</v>
      </c>
      <c r="K6" s="19">
        <f>J6*(1+$F36)</f>
        <v>7880745.1570914006</v>
      </c>
      <c r="L6" s="60"/>
      <c r="M6" s="60"/>
      <c r="N6" s="60"/>
      <c r="O6" s="60"/>
      <c r="P6" s="60"/>
      <c r="Q6" s="60"/>
    </row>
    <row r="7" spans="1:17" ht="16.5" thickTop="1" thickBot="1" x14ac:dyDescent="0.3">
      <c r="A7" s="79" t="s">
        <v>67</v>
      </c>
      <c r="B7" s="20">
        <f t="shared" ref="B7:K7" si="0">SUM(B3:B6)</f>
        <v>59775665</v>
      </c>
      <c r="C7" s="20">
        <f t="shared" si="0"/>
        <v>62340950</v>
      </c>
      <c r="D7" s="20">
        <f t="shared" si="0"/>
        <v>61800000</v>
      </c>
      <c r="E7" s="20">
        <f t="shared" si="0"/>
        <v>63682800</v>
      </c>
      <c r="F7" s="20">
        <f t="shared" si="0"/>
        <v>66013166.313759699</v>
      </c>
      <c r="G7" s="20">
        <f t="shared" si="0"/>
        <v>67950861.048171476</v>
      </c>
      <c r="H7" s="20">
        <f t="shared" si="0"/>
        <v>69275809.892828375</v>
      </c>
      <c r="I7" s="20">
        <f t="shared" si="0"/>
        <v>70702975.678063512</v>
      </c>
      <c r="J7" s="20">
        <f t="shared" si="0"/>
        <v>72201116.99921082</v>
      </c>
      <c r="K7" s="20">
        <f t="shared" si="0"/>
        <v>73775226.186944515</v>
      </c>
      <c r="L7" s="60"/>
      <c r="M7" s="60"/>
      <c r="N7" s="60"/>
      <c r="O7" s="60"/>
      <c r="P7" s="60"/>
      <c r="Q7" s="60"/>
    </row>
    <row r="8" spans="1:17" ht="15.75" thickTop="1" x14ac:dyDescent="0.25">
      <c r="A8" s="80" t="s">
        <v>68</v>
      </c>
      <c r="B8" s="18">
        <f>Salary!B22</f>
        <v>36375000</v>
      </c>
      <c r="C8" s="18">
        <f>Salary!C22</f>
        <v>35861000</v>
      </c>
      <c r="D8" s="18">
        <f>Salary!D22</f>
        <v>36412000</v>
      </c>
      <c r="E8" s="18">
        <f>Salary!E22</f>
        <v>36509000</v>
      </c>
      <c r="F8" s="18">
        <f>Salary!F22</f>
        <v>37239180</v>
      </c>
      <c r="G8" s="18">
        <f>Salary!G22</f>
        <v>37983963.600000001</v>
      </c>
      <c r="H8" s="18">
        <f>Salary!H22</f>
        <v>38743642.872000001</v>
      </c>
      <c r="I8" s="18">
        <f>Salary!I22</f>
        <v>39518515.729440004</v>
      </c>
      <c r="J8" s="18">
        <f>Salary!J22</f>
        <v>40308886.044028796</v>
      </c>
      <c r="K8" s="18">
        <f>Salary!K22</f>
        <v>41115063.764909372</v>
      </c>
      <c r="L8" s="60"/>
      <c r="M8" s="60"/>
      <c r="N8" s="60"/>
      <c r="O8" s="60"/>
      <c r="P8" s="60"/>
      <c r="Q8" s="60"/>
    </row>
    <row r="9" spans="1:17" x14ac:dyDescent="0.25">
      <c r="A9" s="80" t="s">
        <v>118</v>
      </c>
      <c r="B9" s="36">
        <v>8400000</v>
      </c>
      <c r="C9" s="36">
        <v>9500000</v>
      </c>
      <c r="D9" s="36">
        <v>10000000</v>
      </c>
      <c r="E9" s="36">
        <v>10300000</v>
      </c>
      <c r="F9" s="10">
        <f>E9*(1+$F37)</f>
        <v>10609000</v>
      </c>
      <c r="G9" s="10">
        <f>F9*(1+$F37)</f>
        <v>10927270</v>
      </c>
      <c r="H9" s="10">
        <f>G9*(1+$F37)</f>
        <v>11255088.1</v>
      </c>
      <c r="I9" s="10">
        <f>H9*(1+$F37)</f>
        <v>11592740.743000001</v>
      </c>
      <c r="J9" s="10">
        <f>I9*(1+$F37)</f>
        <v>11940522.965290001</v>
      </c>
      <c r="K9" s="10">
        <f>J9*(1+$F37)</f>
        <v>12298738.654248701</v>
      </c>
      <c r="L9" s="60"/>
      <c r="M9" s="60"/>
      <c r="N9" s="60"/>
      <c r="O9" s="60"/>
      <c r="P9" s="60"/>
      <c r="Q9" s="60"/>
    </row>
    <row r="10" spans="1:17" ht="15.75" thickBot="1" x14ac:dyDescent="0.3">
      <c r="A10" s="80" t="s">
        <v>56</v>
      </c>
      <c r="B10" s="38">
        <f>Salary!B28</f>
        <v>16213516.931057034</v>
      </c>
      <c r="C10" s="38">
        <f>Salary!C28</f>
        <v>16057704.841808451</v>
      </c>
      <c r="D10" s="38">
        <f>Salary!D28</f>
        <v>16860444.060914826</v>
      </c>
      <c r="E10" s="38">
        <f>Salary!E28</f>
        <v>17936459.035135776</v>
      </c>
      <c r="F10" s="12">
        <f>Salary!F28</f>
        <v>18310662.600000001</v>
      </c>
      <c r="G10" s="12">
        <f>Salary!G28</f>
        <v>18691857.612</v>
      </c>
      <c r="H10" s="12">
        <f>Salary!H28</f>
        <v>19080976.15944</v>
      </c>
      <c r="I10" s="12">
        <f>Salary!I28</f>
        <v>19478182.7057328</v>
      </c>
      <c r="J10" s="12">
        <f>Salary!J28</f>
        <v>19883645.123413537</v>
      </c>
      <c r="K10" s="12">
        <f>Salary!K28</f>
        <v>20297534.764719211</v>
      </c>
      <c r="L10" s="60"/>
      <c r="M10" s="60"/>
      <c r="N10" s="60"/>
      <c r="O10" s="60"/>
      <c r="P10" s="60"/>
      <c r="Q10" s="60"/>
    </row>
    <row r="11" spans="1:17" x14ac:dyDescent="0.25">
      <c r="A11" s="79" t="s">
        <v>70</v>
      </c>
      <c r="B11" s="18">
        <f t="shared" ref="B11:K11" si="1">SUM(B8:B10)</f>
        <v>60988516.931057036</v>
      </c>
      <c r="C11" s="18">
        <f t="shared" si="1"/>
        <v>61418704.841808453</v>
      </c>
      <c r="D11" s="18">
        <f t="shared" si="1"/>
        <v>63272444.060914829</v>
      </c>
      <c r="E11" s="18">
        <f t="shared" si="1"/>
        <v>64745459.035135776</v>
      </c>
      <c r="F11" s="18">
        <f t="shared" si="1"/>
        <v>66158842.600000001</v>
      </c>
      <c r="G11" s="18">
        <f t="shared" si="1"/>
        <v>67603091.211999997</v>
      </c>
      <c r="H11" s="18">
        <f t="shared" si="1"/>
        <v>69079707.131439999</v>
      </c>
      <c r="I11" s="18">
        <f t="shared" si="1"/>
        <v>70589439.178172797</v>
      </c>
      <c r="J11" s="18">
        <f t="shared" si="1"/>
        <v>72133054.132732332</v>
      </c>
      <c r="K11" s="18">
        <f t="shared" si="1"/>
        <v>73711337.183877289</v>
      </c>
      <c r="L11" s="60"/>
      <c r="M11" s="60"/>
      <c r="N11" s="60"/>
      <c r="O11" s="60"/>
      <c r="P11" s="60"/>
      <c r="Q11" s="60"/>
    </row>
    <row r="12" spans="1:17" ht="6.75" customHeight="1" thickBot="1" x14ac:dyDescent="0.3">
      <c r="A12" s="81"/>
      <c r="B12" s="60"/>
      <c r="C12" s="60"/>
      <c r="D12" s="60"/>
      <c r="E12" s="60"/>
      <c r="F12" s="60"/>
      <c r="G12" s="60"/>
      <c r="H12" s="60"/>
      <c r="I12" s="60"/>
      <c r="J12" s="60"/>
      <c r="K12" s="60"/>
      <c r="L12" s="60"/>
      <c r="M12" s="60"/>
      <c r="N12" s="60"/>
      <c r="O12" s="60"/>
      <c r="P12" s="60"/>
      <c r="Q12" s="60"/>
    </row>
    <row r="13" spans="1:17" ht="15.75" thickBot="1" x14ac:dyDescent="0.3">
      <c r="A13" s="79" t="s">
        <v>71</v>
      </c>
      <c r="B13" s="21">
        <f t="shared" ref="B13:K13" si="2">B7-B11</f>
        <v>-1212851.9310570359</v>
      </c>
      <c r="C13" s="22">
        <f t="shared" si="2"/>
        <v>922245.1581915468</v>
      </c>
      <c r="D13" s="22">
        <f t="shared" si="2"/>
        <v>-1472444.0609148294</v>
      </c>
      <c r="E13" s="22">
        <f t="shared" si="2"/>
        <v>-1062659.0351357758</v>
      </c>
      <c r="F13" s="22">
        <f t="shared" si="2"/>
        <v>-145676.28624030203</v>
      </c>
      <c r="G13" s="22">
        <f t="shared" si="2"/>
        <v>347769.83617147803</v>
      </c>
      <c r="H13" s="22">
        <f t="shared" si="2"/>
        <v>196102.76138837636</v>
      </c>
      <c r="I13" s="22">
        <f t="shared" si="2"/>
        <v>113536.49989071488</v>
      </c>
      <c r="J13" s="22">
        <f t="shared" si="2"/>
        <v>68062.866478487849</v>
      </c>
      <c r="K13" s="23">
        <f t="shared" si="2"/>
        <v>63889.003067225218</v>
      </c>
      <c r="L13" s="60"/>
      <c r="M13" s="60"/>
      <c r="N13" s="60"/>
      <c r="O13" s="60"/>
      <c r="P13" s="60"/>
      <c r="Q13" s="60"/>
    </row>
    <row r="14" spans="1:17" x14ac:dyDescent="0.25">
      <c r="A14" s="79" t="s">
        <v>86</v>
      </c>
      <c r="B14" s="13" t="str">
        <f>B2</f>
        <v>2014-15</v>
      </c>
      <c r="C14" s="13" t="str">
        <f t="shared" ref="C14:F14" si="3">C2</f>
        <v>2015-16</v>
      </c>
      <c r="D14" s="13" t="str">
        <f t="shared" si="3"/>
        <v>2016-17</v>
      </c>
      <c r="E14" s="13" t="str">
        <f t="shared" si="3"/>
        <v>2017-18</v>
      </c>
      <c r="F14" s="13" t="str">
        <f>F2&amp;"+"</f>
        <v>2018-19+</v>
      </c>
      <c r="G14" s="60"/>
      <c r="H14" s="60"/>
      <c r="I14" s="60"/>
      <c r="J14" s="60"/>
      <c r="K14" s="60"/>
      <c r="L14" s="60"/>
      <c r="M14" s="60"/>
      <c r="N14" s="60"/>
      <c r="O14" s="60"/>
      <c r="P14" s="60"/>
      <c r="Q14" s="60"/>
    </row>
    <row r="15" spans="1:17" x14ac:dyDescent="0.25">
      <c r="A15" s="82" t="s">
        <v>36</v>
      </c>
      <c r="B15" s="27">
        <f>Enroll!B34</f>
        <v>0.59523809523809523</v>
      </c>
      <c r="C15" s="27">
        <f>Enroll!C34</f>
        <v>0.61176470588235299</v>
      </c>
      <c r="D15" s="27">
        <f>Enroll!D34</f>
        <v>0.59523809523809523</v>
      </c>
      <c r="E15" s="27">
        <f>Enroll!E34</f>
        <v>0.59523809523809523</v>
      </c>
      <c r="F15" s="5">
        <v>0.57999999999999996</v>
      </c>
      <c r="G15" s="60"/>
      <c r="H15" s="60"/>
      <c r="I15" s="60"/>
      <c r="J15" s="60"/>
      <c r="K15" s="60"/>
      <c r="L15" s="60"/>
      <c r="M15" s="60"/>
      <c r="N15" s="60"/>
      <c r="O15" s="60"/>
      <c r="P15" s="60"/>
      <c r="Q15" s="60"/>
    </row>
    <row r="16" spans="1:17" x14ac:dyDescent="0.25">
      <c r="A16" s="82" t="s">
        <v>37</v>
      </c>
      <c r="B16" s="27">
        <f>Enroll!B35</f>
        <v>0.54545454545454541</v>
      </c>
      <c r="C16" s="27">
        <f>Enroll!C35</f>
        <v>0.56060606060606055</v>
      </c>
      <c r="D16" s="27">
        <f>Enroll!D35</f>
        <v>0.52941176470588236</v>
      </c>
      <c r="E16" s="27">
        <f>Enroll!E35</f>
        <v>0.54285714285714282</v>
      </c>
      <c r="F16" s="5">
        <v>0.53</v>
      </c>
      <c r="G16" s="64"/>
      <c r="H16" s="64"/>
      <c r="I16" s="64"/>
      <c r="J16" s="64"/>
      <c r="K16" s="64"/>
      <c r="L16" s="60"/>
      <c r="M16" s="60"/>
      <c r="N16" s="60"/>
      <c r="O16" s="60"/>
      <c r="P16" s="60"/>
      <c r="Q16" s="60"/>
    </row>
    <row r="17" spans="1:17" x14ac:dyDescent="0.25">
      <c r="A17" s="82" t="s">
        <v>38</v>
      </c>
      <c r="B17" s="28">
        <f>Enroll!B37</f>
        <v>2.5</v>
      </c>
      <c r="C17" s="28">
        <f>Enroll!C37</f>
        <v>2.4761904761904763</v>
      </c>
      <c r="D17" s="28">
        <f>Enroll!D37</f>
        <v>2.5</v>
      </c>
      <c r="E17" s="28">
        <f>Enroll!E37</f>
        <v>2.5</v>
      </c>
      <c r="F17" s="24">
        <v>2.44</v>
      </c>
      <c r="G17" s="64"/>
      <c r="H17" s="64"/>
      <c r="I17" s="64"/>
      <c r="J17" s="64"/>
      <c r="K17" s="64"/>
      <c r="L17" s="60"/>
      <c r="M17" s="60"/>
      <c r="N17" s="60"/>
      <c r="O17" s="60"/>
      <c r="P17" s="60"/>
      <c r="Q17" s="60"/>
    </row>
    <row r="18" spans="1:17" x14ac:dyDescent="0.25">
      <c r="A18" s="82" t="s">
        <v>39</v>
      </c>
      <c r="B18" s="28">
        <f>Enroll!B38</f>
        <v>2.1176470588235294</v>
      </c>
      <c r="C18" s="28">
        <f>Enroll!C38</f>
        <v>2.0555555555555554</v>
      </c>
      <c r="D18" s="28">
        <f>Enroll!D38</f>
        <v>2.1176470588235294</v>
      </c>
      <c r="E18" s="28">
        <f>Enroll!E38</f>
        <v>2.1111111111111112</v>
      </c>
      <c r="F18" s="24">
        <v>2.1</v>
      </c>
      <c r="G18" s="64"/>
      <c r="H18" s="64"/>
      <c r="I18" s="64"/>
      <c r="J18" s="64"/>
      <c r="K18" s="64"/>
      <c r="L18" s="60"/>
      <c r="M18" s="60"/>
      <c r="N18" s="60"/>
      <c r="O18" s="60"/>
      <c r="P18" s="60"/>
      <c r="Q18" s="60"/>
    </row>
    <row r="19" spans="1:17" x14ac:dyDescent="0.25">
      <c r="A19" s="82" t="s">
        <v>40</v>
      </c>
      <c r="B19" s="28">
        <f>Enroll!B40</f>
        <v>4.8571428571428568</v>
      </c>
      <c r="C19" s="28">
        <f>Enroll!C40</f>
        <v>4.125</v>
      </c>
      <c r="D19" s="28">
        <f>Enroll!D40</f>
        <v>4.8571428571428568</v>
      </c>
      <c r="E19" s="28">
        <f>Enroll!E40</f>
        <v>4.8571428571428568</v>
      </c>
      <c r="F19" s="24">
        <v>4.9000000000000004</v>
      </c>
      <c r="G19" s="64"/>
      <c r="H19" s="64"/>
      <c r="I19" s="64"/>
      <c r="J19" s="64"/>
      <c r="K19" s="64"/>
      <c r="L19" s="60"/>
      <c r="M19" s="60"/>
      <c r="N19" s="60"/>
      <c r="O19" s="60"/>
      <c r="P19" s="60"/>
      <c r="Q19" s="60"/>
    </row>
    <row r="20" spans="1:17" x14ac:dyDescent="0.25">
      <c r="A20" s="82" t="s">
        <v>41</v>
      </c>
      <c r="B20" s="28">
        <f>Enroll!B41</f>
        <v>5</v>
      </c>
      <c r="C20" s="28">
        <f>Enroll!C41</f>
        <v>4.1428571428571432</v>
      </c>
      <c r="D20" s="28">
        <f>Enroll!D41</f>
        <v>4.5714285714285712</v>
      </c>
      <c r="E20" s="28">
        <f>Enroll!E41</f>
        <v>4.5714285714285712</v>
      </c>
      <c r="F20" s="24">
        <v>4.5999999999999996</v>
      </c>
      <c r="G20" s="64"/>
      <c r="H20" s="64"/>
      <c r="I20" s="64"/>
      <c r="J20" s="64"/>
      <c r="K20" s="64"/>
      <c r="L20" s="60"/>
      <c r="M20" s="60"/>
      <c r="N20" s="60"/>
      <c r="O20" s="60"/>
      <c r="P20" s="60"/>
      <c r="Q20" s="60"/>
    </row>
    <row r="21" spans="1:17" x14ac:dyDescent="0.25">
      <c r="A21" s="82" t="s">
        <v>79</v>
      </c>
      <c r="B21" s="27">
        <f>Enroll!B43</f>
        <v>0</v>
      </c>
      <c r="C21" s="27">
        <f>Enroll!C43</f>
        <v>0.84210526315789469</v>
      </c>
      <c r="D21" s="27">
        <f>Enroll!D43</f>
        <v>0.8771929824561403</v>
      </c>
      <c r="E21" s="27">
        <f>Enroll!E43</f>
        <v>0.86177762757688403</v>
      </c>
      <c r="F21" s="5">
        <v>0.87</v>
      </c>
      <c r="G21" s="60"/>
      <c r="H21" s="60"/>
      <c r="I21" s="60"/>
      <c r="J21" s="60"/>
      <c r="K21" s="60"/>
      <c r="L21" s="60"/>
      <c r="M21" s="60"/>
      <c r="N21" s="60"/>
      <c r="O21" s="60"/>
      <c r="P21" s="60"/>
      <c r="Q21" s="60"/>
    </row>
    <row r="22" spans="1:17" x14ac:dyDescent="0.25">
      <c r="A22" s="82" t="s">
        <v>78</v>
      </c>
      <c r="B22" s="27">
        <f>Enroll!B44</f>
        <v>0</v>
      </c>
      <c r="C22" s="27">
        <f>Enroll!C44</f>
        <v>0.70370370370370372</v>
      </c>
      <c r="D22" s="27">
        <f>Enroll!D44</f>
        <v>0.72499999999999998</v>
      </c>
      <c r="E22" s="27">
        <f>Enroll!E44</f>
        <v>0.72572572572572569</v>
      </c>
      <c r="F22" s="5">
        <v>0.7</v>
      </c>
      <c r="G22" s="60"/>
      <c r="H22" s="60"/>
      <c r="I22" s="60"/>
      <c r="J22" s="60"/>
      <c r="K22" s="60"/>
      <c r="L22" s="60"/>
      <c r="M22" s="60"/>
      <c r="N22" s="60"/>
      <c r="O22" s="60"/>
      <c r="P22" s="60"/>
      <c r="Q22" s="60"/>
    </row>
    <row r="23" spans="1:17" x14ac:dyDescent="0.25">
      <c r="A23" s="82" t="s">
        <v>42</v>
      </c>
      <c r="B23" s="30"/>
      <c r="C23" s="27">
        <f>Enroll!C45</f>
        <v>6.0606060606060608E-2</v>
      </c>
      <c r="D23" s="27">
        <f>Enroll!D45</f>
        <v>6.0606060606060608E-2</v>
      </c>
      <c r="E23" s="5">
        <v>0.06</v>
      </c>
      <c r="F23" s="75"/>
      <c r="G23" s="60"/>
      <c r="H23" s="60"/>
      <c r="I23" s="60"/>
      <c r="J23" s="60"/>
      <c r="K23" s="60"/>
      <c r="L23" s="60"/>
      <c r="M23" s="60"/>
      <c r="N23" s="60"/>
      <c r="O23" s="60"/>
      <c r="P23" s="60"/>
      <c r="Q23" s="60"/>
    </row>
    <row r="24" spans="1:17" x14ac:dyDescent="0.25">
      <c r="A24" s="82" t="s">
        <v>43</v>
      </c>
      <c r="B24" s="27">
        <f>Enroll!B46</f>
        <v>9.5238095238095233E-2</v>
      </c>
      <c r="C24" s="40">
        <f>Enroll!C46</f>
        <v>0.10588235294117647</v>
      </c>
      <c r="D24" s="40">
        <f>Enroll!D46</f>
        <v>0.10714285714285714</v>
      </c>
      <c r="E24" s="41">
        <v>0.105</v>
      </c>
      <c r="F24" s="75"/>
      <c r="G24" s="60"/>
      <c r="H24" s="60"/>
      <c r="I24" s="60"/>
      <c r="J24" s="60"/>
      <c r="K24" s="60"/>
      <c r="L24" s="60"/>
      <c r="M24" s="60"/>
      <c r="N24" s="60"/>
      <c r="O24" s="60"/>
      <c r="P24" s="60"/>
      <c r="Q24" s="60"/>
    </row>
    <row r="25" spans="1:17" x14ac:dyDescent="0.25">
      <c r="A25" s="82" t="s">
        <v>22</v>
      </c>
      <c r="B25" s="31"/>
      <c r="C25" s="27">
        <f>-1+Enroll!C14/Enroll!B14</f>
        <v>0</v>
      </c>
      <c r="D25" s="27">
        <f>-1+Enroll!D14/Enroll!C14</f>
        <v>0</v>
      </c>
      <c r="E25" s="27">
        <f>-1+Enroll!E14/Enroll!D14</f>
        <v>0</v>
      </c>
      <c r="F25" s="5">
        <v>0</v>
      </c>
      <c r="G25" s="60"/>
      <c r="H25" s="60"/>
      <c r="I25" s="60"/>
      <c r="J25" s="60"/>
      <c r="K25" s="60"/>
      <c r="L25" s="60"/>
      <c r="M25" s="60"/>
      <c r="N25" s="60"/>
      <c r="O25" s="60"/>
      <c r="P25" s="60"/>
      <c r="Q25" s="60"/>
    </row>
    <row r="26" spans="1:17" x14ac:dyDescent="0.25">
      <c r="A26" s="82" t="s">
        <v>23</v>
      </c>
      <c r="B26" s="31"/>
      <c r="C26" s="27">
        <f>-1+Enroll!C15/Enroll!B15</f>
        <v>0.25</v>
      </c>
      <c r="D26" s="27">
        <f>-1+Enroll!D15/Enroll!C15</f>
        <v>0</v>
      </c>
      <c r="E26" s="27">
        <f>-1+Enroll!E15/Enroll!D15</f>
        <v>0</v>
      </c>
      <c r="F26" s="5">
        <v>0</v>
      </c>
      <c r="G26" s="60"/>
      <c r="H26" s="60"/>
      <c r="I26" s="60"/>
      <c r="J26" s="60"/>
      <c r="K26" s="60"/>
      <c r="L26" s="60"/>
      <c r="M26" s="60"/>
      <c r="N26" s="60"/>
      <c r="O26" s="60"/>
      <c r="P26" s="60"/>
      <c r="Q26" s="60"/>
    </row>
    <row r="27" spans="1:17" x14ac:dyDescent="0.25">
      <c r="A27" s="82" t="s">
        <v>25</v>
      </c>
      <c r="B27" s="31"/>
      <c r="C27" s="27">
        <f>-1+Enroll!C17/Enroll!B17</f>
        <v>6.6666666666666652E-2</v>
      </c>
      <c r="D27" s="27">
        <f>-1+Enroll!D17/Enroll!C17</f>
        <v>0.125</v>
      </c>
      <c r="E27" s="27">
        <f>-1+Enroll!E17/Enroll!D17</f>
        <v>5.555555555555558E-2</v>
      </c>
      <c r="F27" s="5">
        <v>0</v>
      </c>
      <c r="G27" s="60"/>
      <c r="H27" s="60"/>
      <c r="I27" s="60"/>
      <c r="J27" s="60"/>
      <c r="K27" s="60"/>
      <c r="L27" s="60"/>
      <c r="M27" s="60"/>
      <c r="N27" s="60"/>
      <c r="O27" s="60"/>
      <c r="P27" s="60"/>
      <c r="Q27" s="60"/>
    </row>
    <row r="28" spans="1:17" x14ac:dyDescent="0.25">
      <c r="A28" s="82" t="s">
        <v>26</v>
      </c>
      <c r="B28" s="31"/>
      <c r="C28" s="27">
        <f>-1+Enroll!C18/Enroll!B18</f>
        <v>0.33333333333333326</v>
      </c>
      <c r="D28" s="27">
        <f>-1+Enroll!D18/Enroll!C18</f>
        <v>-0.25</v>
      </c>
      <c r="E28" s="27">
        <f>-1+Enroll!E18/Enroll!D18</f>
        <v>0.33333333333333326</v>
      </c>
      <c r="F28" s="5">
        <v>0</v>
      </c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</row>
    <row r="29" spans="1:17" x14ac:dyDescent="0.25">
      <c r="A29" s="82" t="s">
        <v>27</v>
      </c>
      <c r="B29" s="31"/>
      <c r="C29" s="27">
        <f>-1+Enroll!C20/Enroll!B20</f>
        <v>0.16666666666666674</v>
      </c>
      <c r="D29" s="27">
        <f>-1+Enroll!D20/Enroll!C20</f>
        <v>-0.1428571428571429</v>
      </c>
      <c r="E29" s="27">
        <f>-1+Enroll!E20/Enroll!D20</f>
        <v>0</v>
      </c>
      <c r="F29" s="5">
        <v>0</v>
      </c>
      <c r="G29" s="60"/>
      <c r="H29" s="60"/>
      <c r="I29" s="60"/>
      <c r="J29" s="60"/>
      <c r="K29" s="60"/>
      <c r="L29" s="60"/>
      <c r="M29" s="60"/>
      <c r="N29" s="60"/>
      <c r="O29" s="60"/>
      <c r="P29" s="60"/>
      <c r="Q29" s="60"/>
    </row>
    <row r="30" spans="1:17" x14ac:dyDescent="0.25">
      <c r="A30" s="82" t="s">
        <v>28</v>
      </c>
      <c r="B30" s="31"/>
      <c r="C30" s="27">
        <f>-1+Enroll!C21/Enroll!B21</f>
        <v>-0.33333333333333337</v>
      </c>
      <c r="D30" s="27">
        <f>-1+Enroll!D21/Enroll!C21</f>
        <v>0.5</v>
      </c>
      <c r="E30" s="27">
        <f>-1+Enroll!E21/Enroll!D21</f>
        <v>0</v>
      </c>
      <c r="F30" s="5">
        <v>0</v>
      </c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0"/>
    </row>
    <row r="31" spans="1:17" x14ac:dyDescent="0.25">
      <c r="A31" s="82" t="s">
        <v>29</v>
      </c>
      <c r="B31" s="31"/>
      <c r="C31" s="27">
        <f>-1+Enroll!C23/Enroll!B23</f>
        <v>0</v>
      </c>
      <c r="D31" s="27">
        <f>-1+Enroll!D23/Enroll!C23</f>
        <v>0</v>
      </c>
      <c r="E31" s="27">
        <f>-1+Enroll!E23/Enroll!D23</f>
        <v>0</v>
      </c>
      <c r="F31" s="5">
        <v>0</v>
      </c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</row>
    <row r="32" spans="1:17" x14ac:dyDescent="0.25">
      <c r="A32" s="82" t="s">
        <v>30</v>
      </c>
      <c r="B32" s="31"/>
      <c r="C32" s="27">
        <f>-1+Enroll!C24/Enroll!B24</f>
        <v>0.28571428571428581</v>
      </c>
      <c r="D32" s="27">
        <f>-1+Enroll!D24/Enroll!C24</f>
        <v>-0.22222222222222221</v>
      </c>
      <c r="E32" s="27">
        <f>-1+Enroll!E24/Enroll!D24</f>
        <v>0.14285714285714279</v>
      </c>
      <c r="F32" s="5">
        <v>0</v>
      </c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</row>
    <row r="33" spans="1:17" x14ac:dyDescent="0.25">
      <c r="A33" s="82" t="s">
        <v>72</v>
      </c>
      <c r="B33" s="31"/>
      <c r="C33" s="32">
        <f>-1+Enroll!C60/Enroll!B60</f>
        <v>0</v>
      </c>
      <c r="D33" s="32">
        <f>-1+Enroll!D60/Enroll!C60</f>
        <v>2.564102564102555E-2</v>
      </c>
      <c r="E33" s="32">
        <f>-1+Enroll!E60/Enroll!D60</f>
        <v>1.6499999999999959E-2</v>
      </c>
      <c r="F33" s="5">
        <v>2.5000000000000001E-2</v>
      </c>
      <c r="G33" s="60"/>
      <c r="H33" s="60"/>
      <c r="I33" s="60"/>
      <c r="J33" s="60"/>
      <c r="K33" s="60"/>
      <c r="L33" s="60"/>
      <c r="M33" s="60"/>
      <c r="N33" s="60"/>
      <c r="O33" s="60"/>
      <c r="P33" s="60"/>
      <c r="Q33" s="60"/>
    </row>
    <row r="34" spans="1:17" x14ac:dyDescent="0.25">
      <c r="A34" s="82" t="s">
        <v>73</v>
      </c>
      <c r="B34" s="31"/>
      <c r="C34" s="32">
        <f>-1+Enroll!C61/Enroll!B61</f>
        <v>0</v>
      </c>
      <c r="D34" s="32">
        <f>-1+Enroll!D61/Enroll!C61</f>
        <v>1.9607843137254832E-2</v>
      </c>
      <c r="E34" s="32">
        <f>-1+Enroll!E61/Enroll!D61</f>
        <v>7.6923076923076872E-2</v>
      </c>
      <c r="F34" s="5">
        <v>0.02</v>
      </c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</row>
    <row r="35" spans="1:17" x14ac:dyDescent="0.25">
      <c r="A35" s="80" t="s">
        <v>76</v>
      </c>
      <c r="B35" s="31"/>
      <c r="C35" s="32">
        <f>-1+(C5/B5)</f>
        <v>1.2121212121212199E-2</v>
      </c>
      <c r="D35" s="32">
        <f>-1+(D5/C5)</f>
        <v>1.1976047904191711E-2</v>
      </c>
      <c r="E35" s="32">
        <f>-1+(E5/D5)</f>
        <v>2.9585798816567976E-2</v>
      </c>
      <c r="F35" s="29">
        <v>0.02</v>
      </c>
      <c r="G35" s="60"/>
      <c r="H35" s="60"/>
      <c r="I35" s="60"/>
      <c r="J35" s="60"/>
      <c r="K35" s="60"/>
      <c r="L35" s="60"/>
      <c r="M35" s="60"/>
      <c r="N35" s="60"/>
      <c r="O35" s="60"/>
      <c r="P35" s="60"/>
      <c r="Q35" s="60"/>
    </row>
    <row r="36" spans="1:17" x14ac:dyDescent="0.25">
      <c r="A36" s="80" t="s">
        <v>117</v>
      </c>
      <c r="B36" s="31"/>
      <c r="C36" s="32">
        <f>-1+(C6/B6)</f>
        <v>0.19999999999999996</v>
      </c>
      <c r="D36" s="32">
        <f>-1+(D6/C6)</f>
        <v>8.3333333333333259E-2</v>
      </c>
      <c r="E36" s="32">
        <f>-1+(E6/D6)</f>
        <v>1.538461538461533E-2</v>
      </c>
      <c r="F36" s="5">
        <v>0.03</v>
      </c>
      <c r="G36" s="60"/>
      <c r="H36" s="60"/>
      <c r="I36" s="60"/>
      <c r="J36" s="60"/>
      <c r="K36" s="60"/>
      <c r="L36" s="60"/>
      <c r="M36" s="60"/>
      <c r="N36" s="60"/>
      <c r="O36" s="60"/>
      <c r="P36" s="60"/>
      <c r="Q36" s="60"/>
    </row>
    <row r="37" spans="1:17" x14ac:dyDescent="0.25">
      <c r="A37" s="80" t="str">
        <f>A9</f>
        <v>Supplies &amp; Contractual &amp; Equipment</v>
      </c>
      <c r="B37" s="31"/>
      <c r="C37" s="32">
        <f>-1+(C9/B9)</f>
        <v>0.13095238095238093</v>
      </c>
      <c r="D37" s="32">
        <f>-1+(D9/C9)</f>
        <v>5.2631578947368363E-2</v>
      </c>
      <c r="E37" s="32">
        <f>-1+(E9/D9)</f>
        <v>3.0000000000000027E-2</v>
      </c>
      <c r="F37" s="5">
        <v>0.03</v>
      </c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</row>
    <row r="38" spans="1:17" ht="15.75" customHeight="1" x14ac:dyDescent="0.25">
      <c r="A38" s="79" t="s">
        <v>87</v>
      </c>
      <c r="B38" s="60"/>
      <c r="C38" s="60"/>
      <c r="D38" s="60"/>
      <c r="E38" s="60"/>
      <c r="F38" s="60"/>
      <c r="G38" s="60"/>
      <c r="H38" s="60"/>
      <c r="I38" s="60"/>
      <c r="J38" s="60"/>
      <c r="K38" s="60"/>
      <c r="L38" s="60"/>
      <c r="M38" s="60"/>
      <c r="N38" s="60"/>
      <c r="O38" s="60"/>
      <c r="P38" s="60"/>
      <c r="Q38" s="60"/>
    </row>
    <row r="39" spans="1:17" x14ac:dyDescent="0.25">
      <c r="A39" s="83" t="s">
        <v>62</v>
      </c>
      <c r="B39" s="42" t="str">
        <f>B14</f>
        <v>2014-15</v>
      </c>
      <c r="C39" s="42" t="str">
        <f t="shared" ref="C39:F39" si="4">C14</f>
        <v>2015-16</v>
      </c>
      <c r="D39" s="42" t="str">
        <f t="shared" si="4"/>
        <v>2016-17</v>
      </c>
      <c r="E39" s="42" t="str">
        <f t="shared" si="4"/>
        <v>2017-18</v>
      </c>
      <c r="F39" s="42" t="str">
        <f t="shared" si="4"/>
        <v>2018-19+</v>
      </c>
      <c r="G39" s="60"/>
      <c r="H39" s="60"/>
      <c r="I39" s="60"/>
      <c r="J39" s="60"/>
      <c r="K39" s="60"/>
      <c r="L39" s="60"/>
      <c r="M39" s="60"/>
      <c r="N39" s="60"/>
      <c r="O39" s="60"/>
      <c r="P39" s="60"/>
      <c r="Q39" s="60"/>
    </row>
    <row r="40" spans="1:17" x14ac:dyDescent="0.25">
      <c r="A40" s="82" t="s">
        <v>48</v>
      </c>
      <c r="B40" s="31"/>
      <c r="C40" s="34">
        <f>Salary!C4-Salary!B4</f>
        <v>2</v>
      </c>
      <c r="D40" s="34">
        <f>Salary!D4-Salary!C4</f>
        <v>1</v>
      </c>
      <c r="E40" s="34">
        <f>Salary!E4-Salary!D4</f>
        <v>2</v>
      </c>
      <c r="F40" s="11">
        <v>0</v>
      </c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</row>
    <row r="41" spans="1:17" x14ac:dyDescent="0.25">
      <c r="A41" s="82" t="s">
        <v>49</v>
      </c>
      <c r="B41" s="31"/>
      <c r="C41" s="34">
        <f>Salary!C5-Salary!B5</f>
        <v>1</v>
      </c>
      <c r="D41" s="34">
        <f>Salary!D5-Salary!C5</f>
        <v>4</v>
      </c>
      <c r="E41" s="34">
        <f>Salary!E5-Salary!D5</f>
        <v>-1</v>
      </c>
      <c r="F41" s="11">
        <v>0</v>
      </c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</row>
    <row r="42" spans="1:17" x14ac:dyDescent="0.25">
      <c r="A42" s="82" t="s">
        <v>50</v>
      </c>
      <c r="B42" s="31"/>
      <c r="C42" s="34">
        <f>Salary!C6-Salary!B6</f>
        <v>0</v>
      </c>
      <c r="D42" s="34">
        <f>Salary!D6-Salary!C6</f>
        <v>5</v>
      </c>
      <c r="E42" s="34">
        <f>Salary!E6-Salary!D6</f>
        <v>-5</v>
      </c>
      <c r="F42" s="11">
        <v>0</v>
      </c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</row>
    <row r="43" spans="1:17" x14ac:dyDescent="0.25">
      <c r="A43" s="82" t="s">
        <v>83</v>
      </c>
      <c r="B43" s="31"/>
      <c r="C43" s="34">
        <f>Salary!C7-Salary!B7</f>
        <v>0</v>
      </c>
      <c r="D43" s="34">
        <f>Salary!D7-Salary!C7</f>
        <v>5</v>
      </c>
      <c r="E43" s="34">
        <f>Salary!E7-Salary!D7</f>
        <v>-5</v>
      </c>
      <c r="F43" s="11">
        <v>0</v>
      </c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</row>
    <row r="44" spans="1:17" x14ac:dyDescent="0.25">
      <c r="A44" s="82" t="s">
        <v>75</v>
      </c>
      <c r="B44" s="31"/>
      <c r="C44" s="34">
        <f>Salary!C8-Salary!B8</f>
        <v>10</v>
      </c>
      <c r="D44" s="34">
        <f>Salary!D8-Salary!C8</f>
        <v>10</v>
      </c>
      <c r="E44" s="34">
        <f>Salary!E8-Salary!D8</f>
        <v>-10</v>
      </c>
      <c r="F44" s="11">
        <v>2</v>
      </c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</row>
    <row r="45" spans="1:17" x14ac:dyDescent="0.25">
      <c r="A45" s="83" t="s">
        <v>63</v>
      </c>
      <c r="B45" s="76"/>
      <c r="C45" s="76"/>
      <c r="D45" s="76"/>
      <c r="E45" s="76"/>
      <c r="F45" s="61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</row>
    <row r="46" spans="1:17" x14ac:dyDescent="0.25">
      <c r="A46" s="82" t="s">
        <v>48</v>
      </c>
      <c r="B46" s="31"/>
      <c r="C46" s="33">
        <f>-1+Salary!C10/Salary!B10</f>
        <v>-5.0000000000000044E-2</v>
      </c>
      <c r="D46" s="33">
        <f>-1+Salary!D10/Salary!C10</f>
        <v>-3.157894736842104E-2</v>
      </c>
      <c r="E46" s="33">
        <f>-1+Salary!E10/Salary!D10</f>
        <v>-2.1739130434782594E-2</v>
      </c>
      <c r="F46" s="5">
        <v>0.02</v>
      </c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</row>
    <row r="47" spans="1:17" x14ac:dyDescent="0.25">
      <c r="A47" s="82" t="s">
        <v>49</v>
      </c>
      <c r="B47" s="31"/>
      <c r="C47" s="33">
        <f>-1+Salary!C11/Salary!B11</f>
        <v>-7.6923076923076872E-2</v>
      </c>
      <c r="D47" s="33">
        <f>-1+Salary!D11/Salary!C11</f>
        <v>-8.333333333333337E-2</v>
      </c>
      <c r="E47" s="33">
        <f>-1+Salary!E11/Salary!D11</f>
        <v>4.5454545454545414E-2</v>
      </c>
      <c r="F47" s="5">
        <v>0.02</v>
      </c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</row>
    <row r="48" spans="1:17" x14ac:dyDescent="0.25">
      <c r="A48" s="82" t="s">
        <v>85</v>
      </c>
      <c r="B48" s="31"/>
      <c r="C48" s="33">
        <f>-1+Salary!C12/Salary!B12</f>
        <v>1.538461538461533E-2</v>
      </c>
      <c r="D48" s="33">
        <f>-1+Salary!D12/Salary!C12</f>
        <v>6.0606060606060552E-2</v>
      </c>
      <c r="E48" s="33">
        <f>-1+Salary!E12/Salary!D12</f>
        <v>7.1428571428571397E-2</v>
      </c>
      <c r="F48" s="5">
        <v>0.02</v>
      </c>
      <c r="G48" s="60"/>
      <c r="H48" s="60"/>
      <c r="I48" s="60"/>
      <c r="J48" s="60"/>
      <c r="K48" s="60"/>
      <c r="L48" s="60"/>
      <c r="M48" s="60"/>
      <c r="N48" s="60"/>
      <c r="O48" s="60"/>
      <c r="P48" s="60"/>
      <c r="Q48" s="60"/>
    </row>
    <row r="49" spans="1:17" x14ac:dyDescent="0.25">
      <c r="A49" s="82" t="s">
        <v>82</v>
      </c>
      <c r="B49" s="31"/>
      <c r="C49" s="33">
        <f>-1+Salary!C13/Salary!B13</f>
        <v>2.4999999999999911E-2</v>
      </c>
      <c r="D49" s="33">
        <f>-1+Salary!D13/Salary!C13</f>
        <v>2.4390243902439046E-2</v>
      </c>
      <c r="E49" s="33">
        <f>-1+Salary!E13/Salary!D13</f>
        <v>-1.1904761904761862E-2</v>
      </c>
      <c r="F49" s="5">
        <v>0.02</v>
      </c>
      <c r="G49" s="60"/>
      <c r="H49" s="60"/>
      <c r="I49" s="60"/>
      <c r="J49" s="60"/>
      <c r="K49" s="60"/>
      <c r="L49" s="60"/>
      <c r="M49" s="60"/>
      <c r="N49" s="60"/>
      <c r="O49" s="60"/>
      <c r="P49" s="60"/>
      <c r="Q49" s="60"/>
    </row>
    <row r="50" spans="1:17" x14ac:dyDescent="0.25">
      <c r="A50" s="82" t="s">
        <v>81</v>
      </c>
      <c r="B50" s="31"/>
      <c r="C50" s="33">
        <f>-1+Salary!C14/Salary!B14</f>
        <v>1.4285714285714235E-2</v>
      </c>
      <c r="D50" s="33">
        <f>-1+Salary!D14/Salary!C14</f>
        <v>-2.8169014084507005E-2</v>
      </c>
      <c r="E50" s="33">
        <f>-1+Salary!E14/Salary!D14</f>
        <v>4.3478260869565188E-2</v>
      </c>
      <c r="F50" s="5">
        <v>0.02</v>
      </c>
      <c r="G50" s="60"/>
      <c r="H50" s="60"/>
      <c r="I50" s="60"/>
      <c r="J50" s="60"/>
      <c r="K50" s="60"/>
      <c r="L50" s="60"/>
      <c r="M50" s="60"/>
      <c r="N50" s="60"/>
      <c r="O50" s="60"/>
      <c r="P50" s="60"/>
      <c r="Q50" s="60"/>
    </row>
    <row r="51" spans="1:17" x14ac:dyDescent="0.25">
      <c r="A51" s="83" t="s">
        <v>74</v>
      </c>
      <c r="B51" s="77"/>
      <c r="C51" s="77"/>
      <c r="D51" s="77"/>
      <c r="E51" s="77"/>
      <c r="F51" s="61"/>
      <c r="G51" s="60"/>
      <c r="H51" s="60"/>
      <c r="I51" s="60"/>
      <c r="J51" s="60"/>
      <c r="K51" s="60"/>
      <c r="L51" s="60"/>
      <c r="M51" s="60"/>
      <c r="N51" s="60"/>
      <c r="O51" s="60"/>
      <c r="P51" s="60"/>
      <c r="Q51" s="60"/>
    </row>
    <row r="52" spans="1:17" x14ac:dyDescent="0.25">
      <c r="A52" s="82" t="s">
        <v>64</v>
      </c>
      <c r="B52" s="32">
        <f>Salary!B24</f>
        <v>0.51661265992300864</v>
      </c>
      <c r="C52" s="32">
        <f>Salary!C24</f>
        <v>0.51814461166217796</v>
      </c>
      <c r="D52" s="32">
        <f>Salary!D24</f>
        <v>0.53463049091476489</v>
      </c>
      <c r="E52" s="32">
        <f>Salary!E24</f>
        <v>0.57397108701052968</v>
      </c>
      <c r="F52" s="5">
        <v>0.57399999999999995</v>
      </c>
      <c r="G52" s="60"/>
      <c r="H52" s="60"/>
      <c r="I52" s="60"/>
      <c r="J52" s="60"/>
      <c r="K52" s="60"/>
      <c r="L52" s="60"/>
      <c r="M52" s="60"/>
      <c r="N52" s="60"/>
      <c r="O52" s="60"/>
      <c r="P52" s="60"/>
      <c r="Q52" s="60"/>
    </row>
    <row r="53" spans="1:17" x14ac:dyDescent="0.25">
      <c r="A53" s="82" t="s">
        <v>65</v>
      </c>
      <c r="B53" s="32">
        <f>Salary!B25</f>
        <v>0.08</v>
      </c>
      <c r="C53" s="32">
        <f>Salary!C25</f>
        <v>0.08</v>
      </c>
      <c r="D53" s="32">
        <f>Salary!D25</f>
        <v>0.08</v>
      </c>
      <c r="E53" s="32">
        <f>Salary!E25</f>
        <v>0.08</v>
      </c>
      <c r="F53" s="5">
        <v>0.08</v>
      </c>
      <c r="G53" s="60"/>
      <c r="H53" s="60"/>
      <c r="I53" s="60"/>
      <c r="J53" s="60"/>
      <c r="K53" s="60"/>
      <c r="L53" s="60"/>
      <c r="M53" s="60"/>
      <c r="N53" s="60"/>
      <c r="O53" s="60"/>
      <c r="P53" s="60"/>
      <c r="Q53" s="60"/>
    </row>
    <row r="54" spans="1:17" x14ac:dyDescent="0.25">
      <c r="A54" s="60"/>
      <c r="B54" s="60"/>
      <c r="C54" s="60"/>
      <c r="D54" s="60"/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0"/>
      <c r="Q54" s="60"/>
    </row>
    <row r="55" spans="1:17" x14ac:dyDescent="0.25">
      <c r="A55" s="60"/>
      <c r="B55" s="60"/>
      <c r="C55" s="60"/>
      <c r="D55" s="60"/>
      <c r="E55" s="60"/>
      <c r="F55" s="60"/>
      <c r="G55" s="60"/>
      <c r="H55" s="60"/>
      <c r="I55" s="60"/>
      <c r="J55" s="60"/>
      <c r="K55" s="60"/>
      <c r="L55" s="60"/>
      <c r="M55" s="60"/>
      <c r="N55" s="60"/>
      <c r="O55" s="60"/>
      <c r="P55" s="60"/>
      <c r="Q55" s="60"/>
    </row>
    <row r="56" spans="1:17" x14ac:dyDescent="0.25">
      <c r="A56" s="60"/>
      <c r="B56" s="60"/>
      <c r="C56" s="60"/>
      <c r="D56" s="60"/>
      <c r="E56" s="60"/>
      <c r="F56" s="60"/>
      <c r="G56" s="60"/>
      <c r="H56" s="60"/>
      <c r="I56" s="60"/>
      <c r="J56" s="60"/>
      <c r="K56" s="60"/>
      <c r="L56" s="60"/>
      <c r="M56" s="60"/>
      <c r="N56" s="60"/>
      <c r="O56" s="60"/>
      <c r="P56" s="60"/>
      <c r="Q56" s="60"/>
    </row>
    <row r="57" spans="1:17" x14ac:dyDescent="0.25">
      <c r="A57" s="60"/>
      <c r="B57" s="60"/>
      <c r="C57" s="60"/>
      <c r="D57" s="60"/>
      <c r="E57" s="60"/>
      <c r="F57" s="60"/>
      <c r="G57" s="60"/>
      <c r="H57" s="60"/>
      <c r="I57" s="60"/>
      <c r="J57" s="60"/>
      <c r="K57" s="60"/>
      <c r="L57" s="60"/>
      <c r="M57" s="60"/>
      <c r="N57" s="60"/>
      <c r="O57" s="60"/>
      <c r="P57" s="60"/>
      <c r="Q57" s="60"/>
    </row>
    <row r="58" spans="1:17" x14ac:dyDescent="0.25">
      <c r="A58" s="60"/>
      <c r="B58" s="60"/>
      <c r="C58" s="60"/>
      <c r="D58" s="60"/>
      <c r="E58" s="60"/>
      <c r="F58" s="60"/>
      <c r="G58" s="60"/>
      <c r="H58" s="60"/>
      <c r="I58" s="60"/>
      <c r="J58" s="60"/>
      <c r="K58" s="60"/>
      <c r="L58" s="60"/>
      <c r="M58" s="60"/>
      <c r="N58" s="60"/>
      <c r="O58" s="60"/>
      <c r="P58" s="60"/>
      <c r="Q58" s="60"/>
    </row>
    <row r="59" spans="1:17" x14ac:dyDescent="0.25">
      <c r="A59" s="60"/>
      <c r="B59" s="60"/>
      <c r="C59" s="60"/>
      <c r="D59" s="60"/>
      <c r="E59" s="60"/>
      <c r="F59" s="60"/>
      <c r="G59" s="60"/>
      <c r="H59" s="60"/>
      <c r="I59" s="60"/>
      <c r="J59" s="60"/>
      <c r="K59" s="60"/>
      <c r="L59" s="60"/>
      <c r="M59" s="60"/>
      <c r="N59" s="60"/>
      <c r="O59" s="60"/>
      <c r="P59" s="60"/>
      <c r="Q59" s="60"/>
    </row>
    <row r="60" spans="1:17" x14ac:dyDescent="0.25">
      <c r="A60" s="60"/>
      <c r="B60" s="60"/>
      <c r="C60" s="60"/>
      <c r="D60" s="60"/>
      <c r="E60" s="60"/>
      <c r="F60" s="60"/>
      <c r="G60" s="60"/>
      <c r="H60" s="60"/>
      <c r="I60" s="60"/>
      <c r="J60" s="60"/>
      <c r="K60" s="60"/>
      <c r="L60" s="60"/>
      <c r="M60" s="60"/>
      <c r="N60" s="60"/>
      <c r="O60" s="60"/>
      <c r="P60" s="60"/>
      <c r="Q60" s="60"/>
    </row>
    <row r="61" spans="1:17" x14ac:dyDescent="0.25">
      <c r="A61" s="60"/>
      <c r="B61" s="60"/>
      <c r="C61" s="60"/>
      <c r="D61" s="60"/>
      <c r="E61" s="60"/>
      <c r="F61" s="60"/>
      <c r="G61" s="60"/>
      <c r="H61" s="60"/>
      <c r="I61" s="60"/>
      <c r="J61" s="60"/>
      <c r="K61" s="60"/>
      <c r="L61" s="60"/>
      <c r="M61" s="60"/>
      <c r="N61" s="60"/>
      <c r="O61" s="60"/>
      <c r="P61" s="60"/>
      <c r="Q61" s="60"/>
    </row>
    <row r="62" spans="1:17" x14ac:dyDescent="0.25">
      <c r="A62" s="60"/>
      <c r="B62" s="60"/>
      <c r="C62" s="60"/>
      <c r="D62" s="60"/>
      <c r="E62" s="60"/>
      <c r="F62" s="60"/>
      <c r="G62" s="60"/>
      <c r="H62" s="60"/>
      <c r="I62" s="60"/>
      <c r="J62" s="60"/>
      <c r="K62" s="60"/>
      <c r="L62" s="60"/>
      <c r="M62" s="60"/>
      <c r="N62" s="60"/>
      <c r="O62" s="60"/>
      <c r="P62" s="60"/>
      <c r="Q62" s="60"/>
    </row>
    <row r="63" spans="1:17" x14ac:dyDescent="0.25">
      <c r="A63" s="60"/>
      <c r="B63" s="60"/>
      <c r="C63" s="60"/>
      <c r="D63" s="60"/>
      <c r="E63" s="60"/>
      <c r="F63" s="60"/>
      <c r="G63" s="60"/>
      <c r="H63" s="60"/>
      <c r="I63" s="60"/>
      <c r="J63" s="60"/>
      <c r="K63" s="60"/>
      <c r="L63" s="60"/>
      <c r="M63" s="60"/>
      <c r="N63" s="60"/>
      <c r="O63" s="60"/>
      <c r="P63" s="60"/>
      <c r="Q63" s="60"/>
    </row>
    <row r="64" spans="1:17" x14ac:dyDescent="0.25">
      <c r="A64" s="60"/>
      <c r="B64" s="60"/>
      <c r="C64" s="60"/>
      <c r="D64" s="60"/>
      <c r="E64" s="60"/>
      <c r="F64" s="60"/>
      <c r="G64" s="60"/>
      <c r="H64" s="60"/>
      <c r="I64" s="60"/>
      <c r="J64" s="60"/>
      <c r="K64" s="60"/>
      <c r="L64" s="60"/>
      <c r="M64" s="60"/>
      <c r="N64" s="60"/>
      <c r="O64" s="60"/>
      <c r="P64" s="60"/>
      <c r="Q64" s="60"/>
    </row>
    <row r="65" spans="1:17" x14ac:dyDescent="0.25">
      <c r="A65" s="60"/>
      <c r="B65" s="60"/>
      <c r="C65" s="60"/>
      <c r="D65" s="60"/>
      <c r="E65" s="60"/>
      <c r="F65" s="60"/>
      <c r="G65" s="60"/>
      <c r="H65" s="60"/>
      <c r="I65" s="60"/>
      <c r="J65" s="60"/>
      <c r="K65" s="60"/>
      <c r="L65" s="60"/>
      <c r="M65" s="60"/>
      <c r="N65" s="60"/>
      <c r="O65" s="60"/>
      <c r="P65" s="60"/>
      <c r="Q65" s="60"/>
    </row>
    <row r="66" spans="1:17" x14ac:dyDescent="0.25">
      <c r="A66" s="60"/>
      <c r="B66" s="60"/>
      <c r="C66" s="60"/>
      <c r="D66" s="60"/>
      <c r="E66" s="60"/>
      <c r="F66" s="60"/>
      <c r="G66" s="60"/>
      <c r="H66" s="60"/>
      <c r="I66" s="60"/>
      <c r="J66" s="60"/>
      <c r="K66" s="60"/>
      <c r="L66" s="60"/>
      <c r="M66" s="60"/>
      <c r="N66" s="60"/>
      <c r="O66" s="60"/>
      <c r="P66" s="60"/>
      <c r="Q66" s="60"/>
    </row>
    <row r="67" spans="1:17" x14ac:dyDescent="0.25">
      <c r="A67" s="60"/>
      <c r="B67" s="60"/>
      <c r="C67" s="60"/>
      <c r="D67" s="60"/>
      <c r="E67" s="60"/>
      <c r="F67" s="60"/>
      <c r="G67" s="60"/>
      <c r="H67" s="60"/>
      <c r="I67" s="60"/>
      <c r="J67" s="60"/>
      <c r="K67" s="60"/>
      <c r="L67" s="60"/>
      <c r="M67" s="60"/>
      <c r="N67" s="60"/>
      <c r="O67" s="60"/>
      <c r="P67" s="60"/>
      <c r="Q67" s="60"/>
    </row>
  </sheetData>
  <mergeCells count="2">
    <mergeCell ref="F1:K1"/>
    <mergeCell ref="B1:D1"/>
  </mergeCells>
  <pageMargins left="0.2" right="0.21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Q74"/>
  <sheetViews>
    <sheetView workbookViewId="0"/>
  </sheetViews>
  <sheetFormatPr defaultRowHeight="15" x14ac:dyDescent="0.25"/>
  <cols>
    <col min="1" max="1" width="48" style="8" customWidth="1"/>
    <col min="2" max="3" width="12.42578125" style="1" customWidth="1"/>
    <col min="4" max="4" width="12.140625" style="1" customWidth="1"/>
    <col min="5" max="5" width="14" style="1" customWidth="1"/>
    <col min="6" max="6" width="11.7109375" customWidth="1"/>
    <col min="7" max="11" width="11.42578125" customWidth="1"/>
    <col min="12" max="12" width="8.5703125" style="1" customWidth="1"/>
  </cols>
  <sheetData>
    <row r="1" spans="1:17" x14ac:dyDescent="0.25">
      <c r="A1" s="49" t="str">
        <f>Proj!A1</f>
        <v>UpperGrand Community College</v>
      </c>
      <c r="B1" s="50" t="str">
        <f>Proj!B1</f>
        <v>Actual</v>
      </c>
      <c r="C1" s="50"/>
      <c r="D1" s="50"/>
      <c r="E1" s="49" t="str">
        <f>Proj!E1</f>
        <v>Budget</v>
      </c>
      <c r="F1" s="50" t="str">
        <f>Proj!F1</f>
        <v>Projection</v>
      </c>
      <c r="G1" s="50"/>
      <c r="H1" s="50"/>
      <c r="I1" s="50"/>
      <c r="J1" s="50"/>
      <c r="K1" s="50"/>
      <c r="L1" s="60"/>
      <c r="M1" s="61"/>
      <c r="N1" s="61"/>
      <c r="O1" s="61"/>
      <c r="P1" s="61"/>
      <c r="Q1" s="61"/>
    </row>
    <row r="2" spans="1:17" x14ac:dyDescent="0.25">
      <c r="A2" s="49"/>
      <c r="B2" s="49" t="str">
        <f>Proj!B2</f>
        <v>2014-15</v>
      </c>
      <c r="C2" s="49" t="str">
        <f>Proj!C2</f>
        <v>2015-16</v>
      </c>
      <c r="D2" s="49" t="str">
        <f>Proj!D2</f>
        <v>2016-17</v>
      </c>
      <c r="E2" s="49" t="str">
        <f>Proj!E2</f>
        <v>2017-18</v>
      </c>
      <c r="F2" s="49" t="str">
        <f>Proj!F2</f>
        <v>2018-19</v>
      </c>
      <c r="G2" s="49" t="str">
        <f>Proj!G2</f>
        <v>2019-20</v>
      </c>
      <c r="H2" s="49" t="str">
        <f>Proj!H2</f>
        <v>2020-21</v>
      </c>
      <c r="I2" s="49" t="str">
        <f>Proj!I2</f>
        <v>2021-22</v>
      </c>
      <c r="J2" s="49" t="str">
        <f>Proj!J2</f>
        <v>2022-23</v>
      </c>
      <c r="K2" s="49" t="str">
        <f>Proj!K2</f>
        <v>2023-24</v>
      </c>
      <c r="L2" s="60"/>
      <c r="M2" s="61"/>
      <c r="N2" s="61"/>
      <c r="O2" s="61"/>
      <c r="P2" s="61"/>
      <c r="Q2" s="61"/>
    </row>
    <row r="3" spans="1:17" ht="15.75" x14ac:dyDescent="0.25">
      <c r="A3" s="51" t="s">
        <v>11</v>
      </c>
      <c r="B3" s="60"/>
      <c r="C3" s="60"/>
      <c r="D3" s="60"/>
      <c r="E3" s="60"/>
      <c r="F3" s="61"/>
      <c r="G3" s="61"/>
      <c r="H3" s="61"/>
      <c r="I3" s="61"/>
      <c r="J3" s="61"/>
      <c r="K3" s="61"/>
      <c r="L3" s="60"/>
      <c r="M3" s="61"/>
      <c r="N3" s="61"/>
      <c r="O3" s="61"/>
      <c r="P3" s="61"/>
      <c r="Q3" s="61"/>
    </row>
    <row r="4" spans="1:17" x14ac:dyDescent="0.25">
      <c r="A4" s="49" t="s">
        <v>14</v>
      </c>
      <c r="B4" s="36">
        <v>5000</v>
      </c>
      <c r="C4" s="36">
        <v>5200</v>
      </c>
      <c r="D4" s="36">
        <v>5000</v>
      </c>
      <c r="E4" s="36">
        <v>5000</v>
      </c>
      <c r="F4" s="3">
        <f>(F29+F17+F20+F23)*F34</f>
        <v>5059.1427999999996</v>
      </c>
      <c r="G4" s="3">
        <f>(G29+G17+G20+G23-F27)*G34</f>
        <v>5101.1235711999989</v>
      </c>
      <c r="H4" s="3">
        <f>(H29+H17+H20+H23-G27)*H34</f>
        <v>5051.3796659727986</v>
      </c>
      <c r="I4" s="3">
        <f>(I29+I17+I20+I23-H27)*I34</f>
        <v>5029.0288931933619</v>
      </c>
      <c r="J4" s="3">
        <f>(J29+J17+J20+J23-I27)*J34</f>
        <v>5019.4185366822239</v>
      </c>
      <c r="K4" s="3">
        <f>(K29+K17+K20+K23-J27)*K34</f>
        <v>5015.2923482597889</v>
      </c>
      <c r="L4" s="64"/>
      <c r="M4" s="61"/>
      <c r="N4" s="61"/>
      <c r="O4" s="61"/>
      <c r="P4" s="61"/>
      <c r="Q4" s="61"/>
    </row>
    <row r="5" spans="1:17" x14ac:dyDescent="0.25">
      <c r="A5" s="49" t="s">
        <v>15</v>
      </c>
      <c r="B5" s="36">
        <v>2000</v>
      </c>
      <c r="C5" s="36">
        <v>2100</v>
      </c>
      <c r="D5" s="36">
        <v>2000</v>
      </c>
      <c r="E5" s="36">
        <v>2000</v>
      </c>
      <c r="F5" s="3">
        <f>F4/F37</f>
        <v>2073.4191803278686</v>
      </c>
      <c r="G5" s="3">
        <f>G4/G37</f>
        <v>2090.6244144262291</v>
      </c>
      <c r="H5" s="3">
        <f>H4/H37</f>
        <v>2070.2375680216387</v>
      </c>
      <c r="I5" s="3">
        <f>I4/I37</f>
        <v>2061.0774152431813</v>
      </c>
      <c r="J5" s="3">
        <f>J4/J37</f>
        <v>2057.138744541895</v>
      </c>
      <c r="K5" s="3">
        <f>K4/K37</f>
        <v>2055.4476837130283</v>
      </c>
      <c r="L5" s="64"/>
      <c r="M5" s="61"/>
      <c r="N5" s="61"/>
      <c r="O5" s="61"/>
      <c r="P5" s="61"/>
      <c r="Q5" s="61"/>
    </row>
    <row r="6" spans="1:17" x14ac:dyDescent="0.25">
      <c r="A6" s="49" t="s">
        <v>16</v>
      </c>
      <c r="B6" s="36">
        <v>3400</v>
      </c>
      <c r="C6" s="36">
        <v>3300</v>
      </c>
      <c r="D6" s="36">
        <v>3400</v>
      </c>
      <c r="E6" s="36">
        <v>3400</v>
      </c>
      <c r="F6" s="14">
        <f>(F29+F17+F20+F24)-F4</f>
        <v>3563.5172000000002</v>
      </c>
      <c r="G6" s="14">
        <f>(G29+G17+G20+G24-F27)-G4</f>
        <v>3593.9170688000004</v>
      </c>
      <c r="H6" s="14">
        <f>(H29+H17+H20+H24-G27)-H4</f>
        <v>3557.8956201871997</v>
      </c>
      <c r="I6" s="14">
        <f>(I29+I17+I20+I24-H27)-I4</f>
        <v>3541.7105778296764</v>
      </c>
      <c r="J6" s="14">
        <f>(J29+J17+J20+J24-I27)-J4</f>
        <v>3534.7513541491971</v>
      </c>
      <c r="K6" s="14">
        <f>(K29+K17+K20+K24-J27)-K4</f>
        <v>3531.763424601917</v>
      </c>
      <c r="L6" s="64"/>
      <c r="M6" s="61"/>
      <c r="N6" s="61"/>
      <c r="O6" s="61"/>
      <c r="P6" s="61"/>
      <c r="Q6" s="61"/>
    </row>
    <row r="7" spans="1:17" x14ac:dyDescent="0.25">
      <c r="A7" s="49" t="s">
        <v>17</v>
      </c>
      <c r="B7" s="36">
        <v>700</v>
      </c>
      <c r="C7" s="36">
        <v>800</v>
      </c>
      <c r="D7" s="36">
        <v>700</v>
      </c>
      <c r="E7" s="36">
        <v>700</v>
      </c>
      <c r="F7" s="3">
        <f>F6/F40</f>
        <v>727.24840816326525</v>
      </c>
      <c r="G7" s="3">
        <f>G6/G40</f>
        <v>733.45246302040823</v>
      </c>
      <c r="H7" s="3">
        <f>H6/H40</f>
        <v>726.10114697697952</v>
      </c>
      <c r="I7" s="3">
        <f>I6/I40</f>
        <v>722.79807710809712</v>
      </c>
      <c r="J7" s="3">
        <f>J6/J40</f>
        <v>721.37782737738712</v>
      </c>
      <c r="K7" s="3">
        <f>K6/K40</f>
        <v>720.7680458371259</v>
      </c>
      <c r="L7" s="64"/>
      <c r="M7" s="61"/>
      <c r="N7" s="61"/>
      <c r="O7" s="61"/>
      <c r="P7" s="61"/>
      <c r="Q7" s="61"/>
    </row>
    <row r="8" spans="1:17" ht="9" customHeight="1" x14ac:dyDescent="0.25">
      <c r="A8" s="49"/>
      <c r="L8" s="60"/>
      <c r="M8" s="61"/>
      <c r="N8" s="61"/>
      <c r="O8" s="61"/>
      <c r="P8" s="61"/>
      <c r="Q8" s="61"/>
    </row>
    <row r="9" spans="1:17" x14ac:dyDescent="0.25">
      <c r="A9" s="49" t="s">
        <v>18</v>
      </c>
      <c r="B9" s="36">
        <v>3600</v>
      </c>
      <c r="C9" s="36">
        <v>3700</v>
      </c>
      <c r="D9" s="36">
        <v>3600</v>
      </c>
      <c r="E9" s="36">
        <v>3800</v>
      </c>
      <c r="F9" s="3">
        <f>(F18+F21+F24+F30)*F35</f>
        <v>3838.1868599999998</v>
      </c>
      <c r="G9" s="3">
        <f>(G18+G21+G24+G30-G26)*G35</f>
        <v>3790.5688658399999</v>
      </c>
      <c r="H9" s="3">
        <f>(H18+H21+H24+H30-H26)*H35</f>
        <v>3761.6069992149592</v>
      </c>
      <c r="I9" s="3">
        <f>(I18+I21+I24+I30-I26)*I35</f>
        <v>3749.0479237966497</v>
      </c>
      <c r="J9" s="3">
        <f>(J18+J21+J24+J30-J26)*J35</f>
        <v>3743.654154070658</v>
      </c>
      <c r="K9" s="3">
        <f>(K18+K21+K24+K30-K26)*K35</f>
        <v>3741.3384424874534</v>
      </c>
      <c r="L9" s="64"/>
      <c r="M9" s="61"/>
      <c r="N9" s="61"/>
      <c r="O9" s="61"/>
      <c r="P9" s="61"/>
      <c r="Q9" s="61"/>
    </row>
    <row r="10" spans="1:17" x14ac:dyDescent="0.25">
      <c r="A10" s="49" t="s">
        <v>19</v>
      </c>
      <c r="B10" s="36">
        <v>1700</v>
      </c>
      <c r="C10" s="36">
        <v>1800</v>
      </c>
      <c r="D10" s="36">
        <v>1700</v>
      </c>
      <c r="E10" s="36">
        <v>1800</v>
      </c>
      <c r="F10" s="3">
        <f>F9/F38</f>
        <v>1827.7080285714285</v>
      </c>
      <c r="G10" s="3">
        <f>G9/G38</f>
        <v>1805.0327932571427</v>
      </c>
      <c r="H10" s="3">
        <f>H9/H38</f>
        <v>1791.2414281975996</v>
      </c>
      <c r="I10" s="3">
        <f>I9/I38</f>
        <v>1785.2609160936427</v>
      </c>
      <c r="J10" s="3">
        <f>J9/J38</f>
        <v>1782.6924543193609</v>
      </c>
      <c r="K10" s="3">
        <f>K9/K38</f>
        <v>1781.5897345178348</v>
      </c>
      <c r="L10" s="64"/>
      <c r="M10" s="61"/>
      <c r="N10" s="61"/>
      <c r="O10" s="61"/>
      <c r="P10" s="61"/>
      <c r="Q10" s="61"/>
    </row>
    <row r="11" spans="1:17" x14ac:dyDescent="0.25">
      <c r="A11" s="49" t="s">
        <v>20</v>
      </c>
      <c r="B11" s="36">
        <v>3000</v>
      </c>
      <c r="C11" s="36">
        <v>2900</v>
      </c>
      <c r="D11" s="36">
        <v>3200</v>
      </c>
      <c r="E11" s="36">
        <v>3200</v>
      </c>
      <c r="F11" s="3">
        <f>(F18+F21+F24+F30)-F9</f>
        <v>3403.6751399999994</v>
      </c>
      <c r="G11" s="3">
        <f>(G18+G21+G24+G30-G26)-G9</f>
        <v>3361.4478621599997</v>
      </c>
      <c r="H11" s="3">
        <f>(H18+H21+H24+H30-H26)-H9</f>
        <v>3335.7646974170389</v>
      </c>
      <c r="I11" s="3">
        <f>(I18+I21+I24+I30-I26)-I9</f>
        <v>3324.627404121557</v>
      </c>
      <c r="J11" s="3">
        <f>(J18+J21+J24+J30-J26)-J9</f>
        <v>3319.8442498362433</v>
      </c>
      <c r="K11" s="3">
        <f>(K18+K21+K24+K30-K26)-K9</f>
        <v>3317.7906942813265</v>
      </c>
      <c r="L11" s="64"/>
      <c r="M11" s="61"/>
      <c r="N11" s="61"/>
      <c r="O11" s="61"/>
      <c r="P11" s="61"/>
      <c r="Q11" s="61"/>
    </row>
    <row r="12" spans="1:17" x14ac:dyDescent="0.25">
      <c r="A12" s="49" t="s">
        <v>21</v>
      </c>
      <c r="B12" s="36">
        <v>600</v>
      </c>
      <c r="C12" s="36">
        <v>700</v>
      </c>
      <c r="D12" s="36">
        <v>700</v>
      </c>
      <c r="E12" s="36">
        <v>700</v>
      </c>
      <c r="F12" s="3">
        <f>F11/F41</f>
        <v>739.9293782608695</v>
      </c>
      <c r="G12" s="3">
        <f>G11/G41</f>
        <v>730.74953525217393</v>
      </c>
      <c r="H12" s="3">
        <f>H11/H41</f>
        <v>725.16623856892159</v>
      </c>
      <c r="I12" s="3">
        <f>I11/I41</f>
        <v>722.74508785251248</v>
      </c>
      <c r="J12" s="3">
        <f>J11/J41</f>
        <v>721.70527170353125</v>
      </c>
      <c r="K12" s="3">
        <f>K11/K41</f>
        <v>721.25884658289715</v>
      </c>
      <c r="L12" s="64"/>
      <c r="M12" s="61"/>
      <c r="N12" s="61"/>
      <c r="O12" s="61"/>
      <c r="P12" s="61"/>
      <c r="Q12" s="61"/>
    </row>
    <row r="13" spans="1:17" ht="8.25" customHeight="1" x14ac:dyDescent="0.25">
      <c r="A13" s="49"/>
      <c r="L13" s="60"/>
      <c r="M13" s="61"/>
      <c r="N13" s="61"/>
      <c r="O13" s="61"/>
      <c r="P13" s="61"/>
      <c r="Q13" s="61"/>
    </row>
    <row r="14" spans="1:17" x14ac:dyDescent="0.25">
      <c r="A14" s="49" t="s">
        <v>22</v>
      </c>
      <c r="B14" s="36">
        <v>100</v>
      </c>
      <c r="C14" s="36">
        <v>100</v>
      </c>
      <c r="D14" s="36">
        <v>100</v>
      </c>
      <c r="E14" s="36">
        <v>100</v>
      </c>
      <c r="F14" s="14">
        <f>E14*(1+Proj!$F25)</f>
        <v>100</v>
      </c>
      <c r="G14" s="14">
        <f>F14*(1+Proj!$F25)</f>
        <v>100</v>
      </c>
      <c r="H14" s="14">
        <f>G14*(1+Proj!$F25)</f>
        <v>100</v>
      </c>
      <c r="I14" s="14">
        <f>H14*(1+Proj!$F25)</f>
        <v>100</v>
      </c>
      <c r="J14" s="14">
        <f>I14*(1+Proj!$F25)</f>
        <v>100</v>
      </c>
      <c r="K14" s="14">
        <f>J14*(1+Proj!$F25)</f>
        <v>100</v>
      </c>
      <c r="L14" s="61"/>
      <c r="M14" s="61"/>
      <c r="N14" s="61"/>
      <c r="O14" s="61"/>
      <c r="P14" s="61"/>
      <c r="Q14" s="61"/>
    </row>
    <row r="15" spans="1:17" x14ac:dyDescent="0.25">
      <c r="A15" s="49" t="s">
        <v>23</v>
      </c>
      <c r="B15" s="36">
        <v>400</v>
      </c>
      <c r="C15" s="36">
        <v>500</v>
      </c>
      <c r="D15" s="36">
        <v>500</v>
      </c>
      <c r="E15" s="36">
        <v>500</v>
      </c>
      <c r="F15" s="14">
        <f>E15*(1+Proj!$F26)</f>
        <v>500</v>
      </c>
      <c r="G15" s="14">
        <f>F15*(1+Proj!$F26)</f>
        <v>500</v>
      </c>
      <c r="H15" s="14">
        <f>G15*(1+Proj!$F26)</f>
        <v>500</v>
      </c>
      <c r="I15" s="14">
        <f>H15*(1+Proj!$F26)</f>
        <v>500</v>
      </c>
      <c r="J15" s="14">
        <f>I15*(1+Proj!$F26)</f>
        <v>500</v>
      </c>
      <c r="K15" s="14">
        <f>J15*(1+Proj!$F26)</f>
        <v>500</v>
      </c>
      <c r="L15" s="61"/>
      <c r="M15" s="61"/>
      <c r="N15" s="61"/>
      <c r="O15" s="61"/>
      <c r="P15" s="61"/>
      <c r="Q15" s="61"/>
    </row>
    <row r="16" spans="1:17" x14ac:dyDescent="0.25">
      <c r="A16" s="53" t="s">
        <v>24</v>
      </c>
      <c r="B16" s="60"/>
      <c r="C16" s="60"/>
      <c r="D16" s="60"/>
      <c r="E16" s="60"/>
      <c r="F16" s="61"/>
      <c r="G16" s="61"/>
      <c r="H16" s="61"/>
      <c r="I16" s="61"/>
      <c r="J16" s="61"/>
      <c r="K16" s="61"/>
      <c r="L16" s="61"/>
      <c r="M16" s="61"/>
      <c r="N16" s="61"/>
      <c r="O16" s="61"/>
      <c r="P16" s="61"/>
      <c r="Q16" s="61"/>
    </row>
    <row r="17" spans="1:17" x14ac:dyDescent="0.25">
      <c r="A17" s="49" t="s">
        <v>25</v>
      </c>
      <c r="B17" s="36">
        <v>1500</v>
      </c>
      <c r="C17" s="36">
        <v>1600</v>
      </c>
      <c r="D17" s="36">
        <v>1800</v>
      </c>
      <c r="E17" s="36">
        <v>1900</v>
      </c>
      <c r="F17" s="14">
        <f>E17*(1+Proj!$F27)</f>
        <v>1900</v>
      </c>
      <c r="G17" s="14">
        <f>F17*(1+Proj!$F27)</f>
        <v>1900</v>
      </c>
      <c r="H17" s="14">
        <f>G17*(1+Proj!$F27)</f>
        <v>1900</v>
      </c>
      <c r="I17" s="14">
        <f>H17*(1+Proj!$F27)</f>
        <v>1900</v>
      </c>
      <c r="J17" s="14">
        <f>I17*(1+Proj!$F27)</f>
        <v>1900</v>
      </c>
      <c r="K17" s="14">
        <f>J17*(1+Proj!$F27)</f>
        <v>1900</v>
      </c>
      <c r="L17" s="61"/>
      <c r="M17" s="61"/>
      <c r="N17" s="61"/>
      <c r="O17" s="61"/>
      <c r="P17" s="61"/>
      <c r="Q17" s="61"/>
    </row>
    <row r="18" spans="1:17" x14ac:dyDescent="0.25">
      <c r="A18" s="49" t="s">
        <v>26</v>
      </c>
      <c r="B18" s="36">
        <v>300</v>
      </c>
      <c r="C18" s="36">
        <v>400</v>
      </c>
      <c r="D18" s="36">
        <v>300</v>
      </c>
      <c r="E18" s="36">
        <v>400</v>
      </c>
      <c r="F18" s="14">
        <f>E18*(1+Proj!$F28)</f>
        <v>400</v>
      </c>
      <c r="G18" s="14">
        <f>F18*(1+Proj!$F28)</f>
        <v>400</v>
      </c>
      <c r="H18" s="14">
        <f>G18*(1+Proj!$F28)</f>
        <v>400</v>
      </c>
      <c r="I18" s="14">
        <f>H18*(1+Proj!$F28)</f>
        <v>400</v>
      </c>
      <c r="J18" s="14">
        <f>I18*(1+Proj!$F28)</f>
        <v>400</v>
      </c>
      <c r="K18" s="14">
        <f>J18*(1+Proj!$F28)</f>
        <v>400</v>
      </c>
      <c r="L18" s="61"/>
      <c r="M18" s="61"/>
      <c r="N18" s="61"/>
      <c r="O18" s="61"/>
      <c r="P18" s="61"/>
      <c r="Q18" s="61"/>
    </row>
    <row r="19" spans="1:17" ht="6" customHeight="1" x14ac:dyDescent="0.25">
      <c r="A19" s="49"/>
      <c r="F19" s="1"/>
      <c r="G19" s="1"/>
      <c r="H19" s="1"/>
      <c r="I19" s="1"/>
      <c r="J19" s="1"/>
      <c r="K19" s="1"/>
      <c r="L19" s="61"/>
      <c r="M19" s="61"/>
      <c r="N19" s="61"/>
      <c r="O19" s="61"/>
      <c r="P19" s="61"/>
      <c r="Q19" s="61"/>
    </row>
    <row r="20" spans="1:17" x14ac:dyDescent="0.25">
      <c r="A20" s="49" t="s">
        <v>27</v>
      </c>
      <c r="B20" s="36">
        <v>600</v>
      </c>
      <c r="C20" s="36">
        <v>700</v>
      </c>
      <c r="D20" s="36">
        <v>600</v>
      </c>
      <c r="E20" s="36">
        <v>600</v>
      </c>
      <c r="F20" s="14">
        <f>E20*(1+Proj!$F29)</f>
        <v>600</v>
      </c>
      <c r="G20" s="14">
        <f>F20*(1+Proj!$F29)</f>
        <v>600</v>
      </c>
      <c r="H20" s="14">
        <f>G20*(1+Proj!$F29)</f>
        <v>600</v>
      </c>
      <c r="I20" s="14">
        <f>H20*(1+Proj!$F29)</f>
        <v>600</v>
      </c>
      <c r="J20" s="14">
        <f>I20*(1+Proj!$F29)</f>
        <v>600</v>
      </c>
      <c r="K20" s="14">
        <f>J20*(1+Proj!$F29)</f>
        <v>600</v>
      </c>
      <c r="L20" s="61"/>
      <c r="M20" s="61"/>
      <c r="N20" s="61"/>
      <c r="O20" s="61"/>
      <c r="P20" s="61"/>
      <c r="Q20" s="61"/>
    </row>
    <row r="21" spans="1:17" x14ac:dyDescent="0.25">
      <c r="A21" s="49" t="s">
        <v>28</v>
      </c>
      <c r="B21" s="36">
        <v>300</v>
      </c>
      <c r="C21" s="36">
        <v>200</v>
      </c>
      <c r="D21" s="36">
        <v>300</v>
      </c>
      <c r="E21" s="36">
        <v>300</v>
      </c>
      <c r="F21" s="14">
        <f>E21*(1+Proj!$F30)</f>
        <v>300</v>
      </c>
      <c r="G21" s="14">
        <f>F21*(1+Proj!$F30)</f>
        <v>300</v>
      </c>
      <c r="H21" s="14">
        <f>G21*(1+Proj!$F30)</f>
        <v>300</v>
      </c>
      <c r="I21" s="14">
        <f>H21*(1+Proj!$F30)</f>
        <v>300</v>
      </c>
      <c r="J21" s="14">
        <f>I21*(1+Proj!$F30)</f>
        <v>300</v>
      </c>
      <c r="K21" s="14">
        <f>J21*(1+Proj!$F30)</f>
        <v>300</v>
      </c>
      <c r="L21" s="61"/>
      <c r="M21" s="61"/>
      <c r="N21" s="61"/>
      <c r="O21" s="61"/>
      <c r="P21" s="61"/>
      <c r="Q21" s="61"/>
    </row>
    <row r="22" spans="1:17" ht="5.25" customHeight="1" x14ac:dyDescent="0.25">
      <c r="A22" s="49"/>
      <c r="F22" s="1"/>
      <c r="G22" s="1"/>
      <c r="H22" s="1"/>
      <c r="I22" s="1"/>
      <c r="J22" s="1"/>
      <c r="K22" s="1"/>
      <c r="L22" s="61"/>
      <c r="M22" s="61"/>
      <c r="N22" s="61"/>
      <c r="O22" s="61"/>
      <c r="P22" s="61"/>
      <c r="Q22" s="61"/>
    </row>
    <row r="23" spans="1:17" x14ac:dyDescent="0.25">
      <c r="A23" s="49" t="s">
        <v>29</v>
      </c>
      <c r="B23" s="36">
        <v>900</v>
      </c>
      <c r="C23" s="36">
        <v>900</v>
      </c>
      <c r="D23" s="36">
        <v>900</v>
      </c>
      <c r="E23" s="36">
        <v>900</v>
      </c>
      <c r="F23" s="14">
        <f>E23*(1+Proj!$F31)</f>
        <v>900</v>
      </c>
      <c r="G23" s="14">
        <f>F23*(1+Proj!$F31)</f>
        <v>900</v>
      </c>
      <c r="H23" s="14">
        <f>G23*(1+Proj!$F31)</f>
        <v>900</v>
      </c>
      <c r="I23" s="14">
        <f>H23*(1+Proj!$F31)</f>
        <v>900</v>
      </c>
      <c r="J23" s="14">
        <f>I23*(1+Proj!$F31)</f>
        <v>900</v>
      </c>
      <c r="K23" s="14">
        <f>J23*(1+Proj!$F31)</f>
        <v>900</v>
      </c>
      <c r="L23" s="61"/>
      <c r="M23" s="61"/>
      <c r="N23" s="61"/>
      <c r="O23" s="61"/>
      <c r="P23" s="61"/>
      <c r="Q23" s="61"/>
    </row>
    <row r="24" spans="1:17" x14ac:dyDescent="0.25">
      <c r="A24" s="49" t="s">
        <v>30</v>
      </c>
      <c r="B24" s="36">
        <v>700</v>
      </c>
      <c r="C24" s="36">
        <v>900</v>
      </c>
      <c r="D24" s="36">
        <v>700</v>
      </c>
      <c r="E24" s="36">
        <v>800</v>
      </c>
      <c r="F24" s="14">
        <f>E24*(1+Proj!$F32)</f>
        <v>800</v>
      </c>
      <c r="G24" s="14">
        <f>F24*(1+Proj!$F32)</f>
        <v>800</v>
      </c>
      <c r="H24" s="14">
        <f>G24*(1+Proj!$F32)</f>
        <v>800</v>
      </c>
      <c r="I24" s="14">
        <f>H24*(1+Proj!$F32)</f>
        <v>800</v>
      </c>
      <c r="J24" s="14">
        <f>I24*(1+Proj!$F32)</f>
        <v>800</v>
      </c>
      <c r="K24" s="14">
        <f>J24*(1+Proj!$F32)</f>
        <v>800</v>
      </c>
      <c r="L24" s="61"/>
      <c r="M24" s="61"/>
      <c r="N24" s="61"/>
      <c r="O24" s="61"/>
      <c r="P24" s="61"/>
      <c r="Q24" s="61"/>
    </row>
    <row r="25" spans="1:17" ht="5.25" customHeight="1" x14ac:dyDescent="0.25">
      <c r="A25" s="49"/>
      <c r="B25" s="2"/>
      <c r="C25" s="2"/>
      <c r="D25" s="2"/>
      <c r="E25" s="2"/>
      <c r="F25" s="4"/>
      <c r="G25" s="4"/>
      <c r="H25" s="4"/>
      <c r="I25" s="4"/>
      <c r="J25" s="4"/>
      <c r="K25" s="4"/>
      <c r="L25" s="61"/>
      <c r="M25" s="61"/>
      <c r="N25" s="61"/>
      <c r="O25" s="61"/>
      <c r="P25" s="61"/>
      <c r="Q25" s="61"/>
    </row>
    <row r="26" spans="1:17" x14ac:dyDescent="0.25">
      <c r="A26" s="49" t="s">
        <v>31</v>
      </c>
      <c r="B26" s="36">
        <v>300</v>
      </c>
      <c r="C26" s="36">
        <v>400</v>
      </c>
      <c r="D26" s="36">
        <v>400</v>
      </c>
      <c r="E26" s="3">
        <f>E45*(D9+D11)</f>
        <v>408</v>
      </c>
      <c r="F26" s="3">
        <f>F45*(E9+E11)</f>
        <v>420</v>
      </c>
      <c r="G26" s="3">
        <f>G45*(F9+F11)</f>
        <v>434.51171999999991</v>
      </c>
      <c r="H26" s="3">
        <f>H45*(G9+G11)</f>
        <v>429.12100367999994</v>
      </c>
      <c r="I26" s="3">
        <f>I45*(H9+H11)</f>
        <v>425.84230179791984</v>
      </c>
      <c r="J26" s="3">
        <f>J45*(I9+I11)</f>
        <v>424.42051967509241</v>
      </c>
      <c r="K26" s="3">
        <f>K45*(J9+J11)</f>
        <v>423.80990423441409</v>
      </c>
      <c r="L26" s="61"/>
      <c r="M26" s="61"/>
      <c r="N26" s="61"/>
      <c r="O26" s="61"/>
      <c r="P26" s="61"/>
      <c r="Q26" s="61"/>
    </row>
    <row r="27" spans="1:17" x14ac:dyDescent="0.25">
      <c r="A27" s="49" t="s">
        <v>32</v>
      </c>
      <c r="B27" s="36">
        <v>800</v>
      </c>
      <c r="C27" s="36">
        <v>900</v>
      </c>
      <c r="D27" s="36">
        <v>900</v>
      </c>
      <c r="E27" s="3">
        <f>E46*(E4+E6)</f>
        <v>882</v>
      </c>
      <c r="F27" s="3">
        <f>F46*(F4+F6)</f>
        <v>905.37929999999994</v>
      </c>
      <c r="G27" s="3">
        <f>G46*(G4+G6)</f>
        <v>912.97926719999987</v>
      </c>
      <c r="H27" s="3">
        <f>H46*(H4+H6)</f>
        <v>903.97390504679981</v>
      </c>
      <c r="I27" s="3">
        <f>I46*(I4+I6)</f>
        <v>899.92764445741898</v>
      </c>
      <c r="J27" s="3">
        <f>J46*(J4+J6)</f>
        <v>898.18783853729917</v>
      </c>
      <c r="K27" s="3">
        <f>K46*(K4+K6)</f>
        <v>897.44085615047914</v>
      </c>
      <c r="L27" s="61"/>
      <c r="M27" s="61"/>
      <c r="N27" s="61"/>
      <c r="O27" s="61"/>
      <c r="P27" s="61"/>
      <c r="Q27" s="61"/>
    </row>
    <row r="28" spans="1:17" ht="3" customHeight="1" x14ac:dyDescent="0.25">
      <c r="A28" s="49"/>
      <c r="L28" s="60"/>
      <c r="M28" s="61"/>
      <c r="N28" s="61"/>
      <c r="O28" s="61"/>
      <c r="P28" s="61"/>
      <c r="Q28" s="61"/>
    </row>
    <row r="29" spans="1:17" x14ac:dyDescent="0.25">
      <c r="A29" s="49" t="s">
        <v>33</v>
      </c>
      <c r="B29" s="36">
        <v>4700</v>
      </c>
      <c r="C29" s="36">
        <v>4800</v>
      </c>
      <c r="D29" s="36">
        <v>5000</v>
      </c>
      <c r="E29" s="36">
        <v>5100</v>
      </c>
      <c r="F29" s="3">
        <f>F43*(E9+E11-E27)</f>
        <v>5322.66</v>
      </c>
      <c r="G29" s="3">
        <f>G43*(F9+F11)</f>
        <v>6300.4199399999989</v>
      </c>
      <c r="H29" s="3">
        <f>H43*(G9+G11)</f>
        <v>6222.2545533599996</v>
      </c>
      <c r="I29" s="3">
        <f>I43*(H9+H11)</f>
        <v>6174.713376069838</v>
      </c>
      <c r="J29" s="3">
        <f>J43*(I9+I11)</f>
        <v>6154.0975352888399</v>
      </c>
      <c r="K29" s="3">
        <f>K43*(J9+J11)</f>
        <v>6145.2436113990043</v>
      </c>
      <c r="L29" s="64"/>
      <c r="M29" s="61"/>
      <c r="N29" s="61"/>
      <c r="O29" s="61"/>
      <c r="P29" s="61"/>
      <c r="Q29" s="61"/>
    </row>
    <row r="30" spans="1:17" x14ac:dyDescent="0.25">
      <c r="A30" s="49" t="s">
        <v>34</v>
      </c>
      <c r="B30" s="36">
        <v>5400</v>
      </c>
      <c r="C30" s="36">
        <v>5700</v>
      </c>
      <c r="D30" s="36">
        <v>5800</v>
      </c>
      <c r="E30" s="36">
        <v>5800</v>
      </c>
      <c r="F30" s="3">
        <f>F44*(F4+F6-F26)</f>
        <v>5741.8619999999992</v>
      </c>
      <c r="G30" s="3">
        <f>G44*(G4+G6)</f>
        <v>6086.5284479999991</v>
      </c>
      <c r="H30" s="3">
        <f>H44*(H4+H6)</f>
        <v>6026.4927003119983</v>
      </c>
      <c r="I30" s="3">
        <f>I44*(I4+I6)</f>
        <v>5999.5176297161261</v>
      </c>
      <c r="J30" s="3">
        <f>J44*(J4+J6)</f>
        <v>5987.918923581994</v>
      </c>
      <c r="K30" s="3">
        <f>K44*(K4+K6)</f>
        <v>5982.9390410031938</v>
      </c>
      <c r="L30" s="64"/>
      <c r="M30" s="61"/>
      <c r="N30" s="61"/>
      <c r="O30" s="61"/>
      <c r="P30" s="61"/>
      <c r="Q30" s="61"/>
    </row>
    <row r="31" spans="1:17" ht="6" customHeight="1" x14ac:dyDescent="0.25">
      <c r="A31" s="49"/>
      <c r="B31" s="60"/>
      <c r="C31" s="60"/>
      <c r="D31" s="60"/>
      <c r="E31" s="84"/>
      <c r="F31" s="61"/>
      <c r="G31" s="61"/>
      <c r="H31" s="61"/>
      <c r="I31" s="61"/>
      <c r="J31" s="61"/>
      <c r="K31" s="61"/>
      <c r="L31" s="60"/>
      <c r="M31" s="61"/>
      <c r="N31" s="61"/>
      <c r="O31" s="61"/>
      <c r="P31" s="61"/>
      <c r="Q31" s="61"/>
    </row>
    <row r="32" spans="1:17" x14ac:dyDescent="0.25">
      <c r="A32" s="52" t="s">
        <v>35</v>
      </c>
      <c r="B32" s="15">
        <f>B5+B7+B10+B12+B14+B15</f>
        <v>5500</v>
      </c>
      <c r="C32" s="15">
        <f>C5+C7+C10+C12+C14+C15</f>
        <v>6000</v>
      </c>
      <c r="D32" s="15">
        <f>D5+D7+D10+D12+D14+D15</f>
        <v>5700</v>
      </c>
      <c r="E32" s="15">
        <f>E5+E7+E10+E12+E14+E15</f>
        <v>5800</v>
      </c>
      <c r="F32" s="15">
        <f>F5+F7+F10+F12+F14+F15</f>
        <v>5968.3049953234313</v>
      </c>
      <c r="G32" s="15">
        <f>G5+G7+G10+G12+G14+G15</f>
        <v>5959.8592059559533</v>
      </c>
      <c r="H32" s="15">
        <f>H5+H7+H10+H12+H14+H15</f>
        <v>5912.7463817651396</v>
      </c>
      <c r="I32" s="15">
        <f>I5+I7+I10+I12+I14+I15</f>
        <v>5891.8814962974338</v>
      </c>
      <c r="J32" s="15">
        <f>J5+J7+J10+J12+J14+J15</f>
        <v>5882.914297942174</v>
      </c>
      <c r="K32" s="15">
        <f>K5+K7+K10+K12+K14+K15</f>
        <v>5879.0643106508869</v>
      </c>
      <c r="L32" s="64"/>
      <c r="M32" s="61"/>
      <c r="N32" s="61"/>
      <c r="O32" s="61"/>
      <c r="P32" s="61"/>
      <c r="Q32" s="61"/>
    </row>
    <row r="33" spans="1:17" ht="5.25" customHeight="1" x14ac:dyDescent="0.25">
      <c r="A33" s="49"/>
      <c r="L33" s="60"/>
      <c r="M33" s="61"/>
      <c r="N33" s="61"/>
      <c r="O33" s="61"/>
      <c r="P33" s="61"/>
      <c r="Q33" s="61"/>
    </row>
    <row r="34" spans="1:17" x14ac:dyDescent="0.25">
      <c r="A34" s="49" t="s">
        <v>36</v>
      </c>
      <c r="B34" s="16">
        <f>B4/(B4+B6)</f>
        <v>0.59523809523809523</v>
      </c>
      <c r="C34" s="16">
        <f>C4/(C4+C6)</f>
        <v>0.61176470588235299</v>
      </c>
      <c r="D34" s="16">
        <f>D4/(D4+D6)</f>
        <v>0.59523809523809523</v>
      </c>
      <c r="E34" s="32">
        <f>E4/(E4+E6)</f>
        <v>0.59523809523809523</v>
      </c>
      <c r="F34" s="32">
        <f>Proj!F15</f>
        <v>0.57999999999999996</v>
      </c>
      <c r="G34" s="16">
        <f>F34</f>
        <v>0.57999999999999996</v>
      </c>
      <c r="H34" s="16">
        <f t="shared" ref="H34:K35" si="0">G34</f>
        <v>0.57999999999999996</v>
      </c>
      <c r="I34" s="16">
        <f t="shared" si="0"/>
        <v>0.57999999999999996</v>
      </c>
      <c r="J34" s="16">
        <f t="shared" si="0"/>
        <v>0.57999999999999996</v>
      </c>
      <c r="K34" s="16">
        <f t="shared" si="0"/>
        <v>0.57999999999999996</v>
      </c>
      <c r="L34" s="88"/>
      <c r="M34" s="61"/>
      <c r="N34" s="61"/>
      <c r="O34" s="61"/>
      <c r="P34" s="61"/>
      <c r="Q34" s="61"/>
    </row>
    <row r="35" spans="1:17" x14ac:dyDescent="0.25">
      <c r="A35" s="49" t="s">
        <v>37</v>
      </c>
      <c r="B35" s="16">
        <f>B9/(B9+B11)</f>
        <v>0.54545454545454541</v>
      </c>
      <c r="C35" s="16">
        <f>C9/(C9+C11)</f>
        <v>0.56060606060606055</v>
      </c>
      <c r="D35" s="16">
        <f>D9/(D9+D11)</f>
        <v>0.52941176470588236</v>
      </c>
      <c r="E35" s="32">
        <f>E9/(E9+E11)</f>
        <v>0.54285714285714282</v>
      </c>
      <c r="F35" s="32">
        <f>Proj!F16</f>
        <v>0.53</v>
      </c>
      <c r="G35" s="16">
        <f>F35</f>
        <v>0.53</v>
      </c>
      <c r="H35" s="16">
        <f t="shared" si="0"/>
        <v>0.53</v>
      </c>
      <c r="I35" s="16">
        <f t="shared" si="0"/>
        <v>0.53</v>
      </c>
      <c r="J35" s="16">
        <f t="shared" si="0"/>
        <v>0.53</v>
      </c>
      <c r="K35" s="16">
        <f t="shared" si="0"/>
        <v>0.53</v>
      </c>
      <c r="L35" s="88"/>
      <c r="M35" s="61"/>
      <c r="N35" s="61"/>
      <c r="O35" s="61"/>
      <c r="P35" s="61"/>
      <c r="Q35" s="61"/>
    </row>
    <row r="36" spans="1:17" ht="3.75" customHeight="1" x14ac:dyDescent="0.25">
      <c r="A36" s="49"/>
      <c r="B36" s="6"/>
      <c r="C36" s="6"/>
      <c r="D36" s="6"/>
      <c r="E36" s="68"/>
      <c r="F36" s="32"/>
      <c r="G36" s="6"/>
      <c r="H36" s="6"/>
      <c r="I36" s="6"/>
      <c r="J36" s="6"/>
      <c r="K36" s="6"/>
      <c r="L36" s="88"/>
      <c r="M36" s="61"/>
      <c r="N36" s="61"/>
      <c r="O36" s="61"/>
      <c r="P36" s="61"/>
      <c r="Q36" s="61"/>
    </row>
    <row r="37" spans="1:17" x14ac:dyDescent="0.25">
      <c r="A37" s="49" t="s">
        <v>89</v>
      </c>
      <c r="B37" s="25">
        <f>B4/B5</f>
        <v>2.5</v>
      </c>
      <c r="C37" s="25">
        <f>C4/C5</f>
        <v>2.4761904761904763</v>
      </c>
      <c r="D37" s="25">
        <f>D4/D5</f>
        <v>2.5</v>
      </c>
      <c r="E37" s="69">
        <f>E4/E5</f>
        <v>2.5</v>
      </c>
      <c r="F37" s="69">
        <f>Proj!F17</f>
        <v>2.44</v>
      </c>
      <c r="G37" s="25">
        <f>F37</f>
        <v>2.44</v>
      </c>
      <c r="H37" s="25">
        <f t="shared" ref="H37:K38" si="1">G37</f>
        <v>2.44</v>
      </c>
      <c r="I37" s="25">
        <f t="shared" si="1"/>
        <v>2.44</v>
      </c>
      <c r="J37" s="25">
        <f t="shared" si="1"/>
        <v>2.44</v>
      </c>
      <c r="K37" s="25">
        <f t="shared" si="1"/>
        <v>2.44</v>
      </c>
      <c r="L37" s="88"/>
      <c r="M37" s="61"/>
      <c r="N37" s="61"/>
      <c r="O37" s="61"/>
      <c r="P37" s="61"/>
      <c r="Q37" s="61"/>
    </row>
    <row r="38" spans="1:17" x14ac:dyDescent="0.25">
      <c r="A38" s="49" t="s">
        <v>90</v>
      </c>
      <c r="B38" s="25">
        <f>B9/B10</f>
        <v>2.1176470588235294</v>
      </c>
      <c r="C38" s="25">
        <f>C9/C10</f>
        <v>2.0555555555555554</v>
      </c>
      <c r="D38" s="25">
        <f>D9/D10</f>
        <v>2.1176470588235294</v>
      </c>
      <c r="E38" s="69">
        <f>E9/E10</f>
        <v>2.1111111111111112</v>
      </c>
      <c r="F38" s="69">
        <f>Proj!F18</f>
        <v>2.1</v>
      </c>
      <c r="G38" s="25">
        <f>F38</f>
        <v>2.1</v>
      </c>
      <c r="H38" s="25">
        <f t="shared" si="1"/>
        <v>2.1</v>
      </c>
      <c r="I38" s="25">
        <f t="shared" si="1"/>
        <v>2.1</v>
      </c>
      <c r="J38" s="25">
        <f t="shared" si="1"/>
        <v>2.1</v>
      </c>
      <c r="K38" s="25">
        <f t="shared" si="1"/>
        <v>2.1</v>
      </c>
      <c r="L38" s="88"/>
      <c r="M38" s="61"/>
      <c r="N38" s="61"/>
      <c r="O38" s="61"/>
      <c r="P38" s="61"/>
      <c r="Q38" s="61"/>
    </row>
    <row r="39" spans="1:17" ht="5.25" customHeight="1" x14ac:dyDescent="0.25">
      <c r="A39" s="49"/>
      <c r="E39" s="55"/>
      <c r="F39" s="32"/>
      <c r="L39" s="60"/>
      <c r="M39" s="61"/>
      <c r="N39" s="61"/>
      <c r="O39" s="61"/>
      <c r="P39" s="61"/>
      <c r="Q39" s="61"/>
    </row>
    <row r="40" spans="1:17" x14ac:dyDescent="0.25">
      <c r="A40" s="49" t="s">
        <v>91</v>
      </c>
      <c r="B40" s="25">
        <f>B6/B7</f>
        <v>4.8571428571428568</v>
      </c>
      <c r="C40" s="25">
        <f>C6/C7</f>
        <v>4.125</v>
      </c>
      <c r="D40" s="25">
        <f>D6/D7</f>
        <v>4.8571428571428568</v>
      </c>
      <c r="E40" s="69">
        <f>E6/E7</f>
        <v>4.8571428571428568</v>
      </c>
      <c r="F40" s="69">
        <f>Proj!F19</f>
        <v>4.9000000000000004</v>
      </c>
      <c r="G40" s="25">
        <f>F40</f>
        <v>4.9000000000000004</v>
      </c>
      <c r="H40" s="25">
        <f t="shared" ref="H40:K41" si="2">G40</f>
        <v>4.9000000000000004</v>
      </c>
      <c r="I40" s="25">
        <f t="shared" si="2"/>
        <v>4.9000000000000004</v>
      </c>
      <c r="J40" s="25">
        <f t="shared" si="2"/>
        <v>4.9000000000000004</v>
      </c>
      <c r="K40" s="25">
        <f t="shared" si="2"/>
        <v>4.9000000000000004</v>
      </c>
      <c r="L40" s="88"/>
      <c r="M40" s="61"/>
      <c r="N40" s="61"/>
      <c r="O40" s="61"/>
      <c r="P40" s="61"/>
      <c r="Q40" s="61"/>
    </row>
    <row r="41" spans="1:17" x14ac:dyDescent="0.25">
      <c r="A41" s="49" t="s">
        <v>92</v>
      </c>
      <c r="B41" s="25">
        <f>B11/B12</f>
        <v>5</v>
      </c>
      <c r="C41" s="25">
        <f>C11/C12</f>
        <v>4.1428571428571432</v>
      </c>
      <c r="D41" s="25">
        <f>D11/D12</f>
        <v>4.5714285714285712</v>
      </c>
      <c r="E41" s="69">
        <f>E11/E12</f>
        <v>4.5714285714285712</v>
      </c>
      <c r="F41" s="69">
        <f>Proj!F20</f>
        <v>4.5999999999999996</v>
      </c>
      <c r="G41" s="25">
        <f>F41</f>
        <v>4.5999999999999996</v>
      </c>
      <c r="H41" s="25">
        <f t="shared" si="2"/>
        <v>4.5999999999999996</v>
      </c>
      <c r="I41" s="25">
        <f t="shared" si="2"/>
        <v>4.5999999999999996</v>
      </c>
      <c r="J41" s="25">
        <f t="shared" si="2"/>
        <v>4.5999999999999996</v>
      </c>
      <c r="K41" s="25">
        <f t="shared" si="2"/>
        <v>4.5999999999999996</v>
      </c>
      <c r="L41" s="88"/>
      <c r="M41" s="61"/>
      <c r="N41" s="61"/>
      <c r="O41" s="61"/>
      <c r="P41" s="61"/>
      <c r="Q41" s="61"/>
    </row>
    <row r="42" spans="1:17" ht="7.5" customHeight="1" x14ac:dyDescent="0.25">
      <c r="A42" s="49"/>
      <c r="B42" s="60"/>
      <c r="C42" s="60"/>
      <c r="D42" s="60"/>
      <c r="E42" s="60"/>
      <c r="F42" s="85"/>
      <c r="G42" s="61"/>
      <c r="H42" s="61"/>
      <c r="I42" s="61"/>
      <c r="J42" s="61"/>
      <c r="K42" s="61"/>
      <c r="L42" s="60"/>
      <c r="M42" s="61"/>
      <c r="N42" s="61"/>
      <c r="O42" s="61"/>
      <c r="P42" s="61"/>
      <c r="Q42" s="61"/>
    </row>
    <row r="43" spans="1:17" x14ac:dyDescent="0.25">
      <c r="A43" s="49" t="s">
        <v>79</v>
      </c>
      <c r="B43" s="56"/>
      <c r="C43" s="16">
        <f>C29/(B9+B11-C27)</f>
        <v>0.84210526315789469</v>
      </c>
      <c r="D43" s="16">
        <f>D29/(C9+C11-D27)</f>
        <v>0.8771929824561403</v>
      </c>
      <c r="E43" s="32">
        <f>E29/(D9+D11-E27)</f>
        <v>0.86177762757688403</v>
      </c>
      <c r="F43" s="32">
        <f>Proj!F21</f>
        <v>0.87</v>
      </c>
      <c r="G43" s="16">
        <f>F43</f>
        <v>0.87</v>
      </c>
      <c r="H43" s="16">
        <f t="shared" ref="H43:K44" si="3">G43</f>
        <v>0.87</v>
      </c>
      <c r="I43" s="16">
        <f t="shared" si="3"/>
        <v>0.87</v>
      </c>
      <c r="J43" s="16">
        <f t="shared" si="3"/>
        <v>0.87</v>
      </c>
      <c r="K43" s="16">
        <f t="shared" si="3"/>
        <v>0.87</v>
      </c>
      <c r="L43" s="87"/>
      <c r="M43" s="61"/>
      <c r="N43" s="61"/>
      <c r="O43" s="61"/>
      <c r="P43" s="61"/>
      <c r="Q43" s="61"/>
    </row>
    <row r="44" spans="1:17" x14ac:dyDescent="0.25">
      <c r="A44" s="49" t="s">
        <v>78</v>
      </c>
      <c r="B44" s="56"/>
      <c r="C44" s="16">
        <f>C30/(C4+C6-C26)</f>
        <v>0.70370370370370372</v>
      </c>
      <c r="D44" s="16">
        <f>D30/(D4+D6-D26)</f>
        <v>0.72499999999999998</v>
      </c>
      <c r="E44" s="32">
        <f>E30/(E4+E6-E26)</f>
        <v>0.72572572572572569</v>
      </c>
      <c r="F44" s="32">
        <f>Proj!F22</f>
        <v>0.7</v>
      </c>
      <c r="G44" s="16">
        <f>F44</f>
        <v>0.7</v>
      </c>
      <c r="H44" s="16">
        <f t="shared" si="3"/>
        <v>0.7</v>
      </c>
      <c r="I44" s="16">
        <f t="shared" si="3"/>
        <v>0.7</v>
      </c>
      <c r="J44" s="16">
        <f t="shared" si="3"/>
        <v>0.7</v>
      </c>
      <c r="K44" s="16">
        <f t="shared" si="3"/>
        <v>0.7</v>
      </c>
      <c r="L44" s="87"/>
      <c r="M44" s="61"/>
      <c r="N44" s="61"/>
      <c r="O44" s="61"/>
      <c r="P44" s="61"/>
      <c r="Q44" s="61"/>
    </row>
    <row r="45" spans="1:17" x14ac:dyDescent="0.25">
      <c r="A45" s="49" t="s">
        <v>42</v>
      </c>
      <c r="B45" s="26"/>
      <c r="C45" s="16">
        <f>C26/(B9+B11)</f>
        <v>6.0606060606060608E-2</v>
      </c>
      <c r="D45" s="16">
        <f>D26/(C9+C11)</f>
        <v>6.0606060606060608E-2</v>
      </c>
      <c r="E45" s="32">
        <f>Proj!E23</f>
        <v>0.06</v>
      </c>
      <c r="F45" s="32">
        <f>E45</f>
        <v>0.06</v>
      </c>
      <c r="G45" s="16">
        <f>F45</f>
        <v>0.06</v>
      </c>
      <c r="H45" s="16">
        <f t="shared" ref="H45:K46" si="4">G45</f>
        <v>0.06</v>
      </c>
      <c r="I45" s="16">
        <f t="shared" si="4"/>
        <v>0.06</v>
      </c>
      <c r="J45" s="16">
        <f t="shared" si="4"/>
        <v>0.06</v>
      </c>
      <c r="K45" s="16">
        <f t="shared" si="4"/>
        <v>0.06</v>
      </c>
      <c r="L45" s="60"/>
      <c r="M45" s="61"/>
      <c r="N45" s="61"/>
      <c r="O45" s="61"/>
      <c r="P45" s="61"/>
      <c r="Q45" s="61"/>
    </row>
    <row r="46" spans="1:17" x14ac:dyDescent="0.25">
      <c r="A46" s="49" t="s">
        <v>43</v>
      </c>
      <c r="B46" s="16">
        <f>B27/(B4+B6)</f>
        <v>9.5238095238095233E-2</v>
      </c>
      <c r="C46" s="16">
        <f>C27/(C4+C6)</f>
        <v>0.10588235294117647</v>
      </c>
      <c r="D46" s="16">
        <f>D27/(D4+D6)</f>
        <v>0.10714285714285714</v>
      </c>
      <c r="E46" s="32">
        <f>Proj!E24</f>
        <v>0.105</v>
      </c>
      <c r="F46" s="32">
        <f>E46</f>
        <v>0.105</v>
      </c>
      <c r="G46" s="16">
        <f>F46</f>
        <v>0.105</v>
      </c>
      <c r="H46" s="16">
        <f t="shared" si="4"/>
        <v>0.105</v>
      </c>
      <c r="I46" s="16">
        <f t="shared" si="4"/>
        <v>0.105</v>
      </c>
      <c r="J46" s="16">
        <f t="shared" si="4"/>
        <v>0.105</v>
      </c>
      <c r="K46" s="16">
        <f t="shared" si="4"/>
        <v>0.105</v>
      </c>
      <c r="L46" s="60"/>
      <c r="M46" s="61"/>
      <c r="N46" s="61"/>
      <c r="O46" s="61"/>
      <c r="P46" s="61"/>
      <c r="Q46" s="61"/>
    </row>
    <row r="47" spans="1:17" ht="6" customHeight="1" x14ac:dyDescent="0.25">
      <c r="A47" s="49"/>
      <c r="B47" s="60"/>
      <c r="C47" s="60"/>
      <c r="D47" s="60"/>
      <c r="E47" s="60"/>
      <c r="F47" s="61"/>
      <c r="G47" s="61"/>
      <c r="H47" s="61"/>
      <c r="I47" s="61"/>
      <c r="J47" s="61"/>
      <c r="K47" s="61"/>
      <c r="L47" s="60"/>
      <c r="M47" s="61"/>
      <c r="N47" s="61"/>
      <c r="O47" s="61"/>
      <c r="P47" s="61"/>
      <c r="Q47" s="61"/>
    </row>
    <row r="48" spans="1:17" x14ac:dyDescent="0.25">
      <c r="A48" s="49" t="s">
        <v>44</v>
      </c>
      <c r="B48" s="16">
        <f>(B5+B7+B10+B12)/B32</f>
        <v>0.90909090909090906</v>
      </c>
      <c r="C48" s="16">
        <f>(C5+C7+C10+C12)/C32</f>
        <v>0.9</v>
      </c>
      <c r="D48" s="16">
        <f>(D5+D7+D10+D12)/D32</f>
        <v>0.89473684210526316</v>
      </c>
      <c r="E48" s="16">
        <f>(E5+E7+E10+E12)/E32</f>
        <v>0.89655172413793105</v>
      </c>
      <c r="F48" s="16">
        <f>(F5+F7+F10+F12)/F32</f>
        <v>0.89946894462160687</v>
      </c>
      <c r="G48" s="16">
        <f>(G5+G7+G10+G12)/G32</f>
        <v>0.89932648083357514</v>
      </c>
      <c r="H48" s="16">
        <f>(H5+H7+H10+H12)/H32</f>
        <v>0.89852431319388315</v>
      </c>
      <c r="I48" s="16">
        <f>(I5+I7+I10+I12)/I32</f>
        <v>0.8981649579379607</v>
      </c>
      <c r="J48" s="16">
        <f>(J5+J7+J10+J12)/J32</f>
        <v>0.89800973299749098</v>
      </c>
      <c r="K48" s="16">
        <f>(K5+K7+K10+K12)/K32</f>
        <v>0.89794294324812851</v>
      </c>
      <c r="L48" s="60"/>
      <c r="M48" s="61"/>
      <c r="N48" s="61"/>
      <c r="O48" s="61"/>
      <c r="P48" s="61"/>
      <c r="Q48" s="61"/>
    </row>
    <row r="49" spans="1:17" ht="4.5" customHeight="1" x14ac:dyDescent="0.25">
      <c r="A49" s="49"/>
      <c r="L49" s="60"/>
      <c r="M49" s="61"/>
      <c r="N49" s="61"/>
      <c r="O49" s="61"/>
      <c r="P49" s="61"/>
      <c r="Q49" s="61"/>
    </row>
    <row r="50" spans="1:17" x14ac:dyDescent="0.25">
      <c r="A50" s="49" t="s">
        <v>45</v>
      </c>
      <c r="B50" s="35">
        <v>6598.3</v>
      </c>
      <c r="C50" s="35">
        <v>6369</v>
      </c>
      <c r="D50" s="35">
        <f>0.5*C32+0.3*B32+0.2*6394.8</f>
        <v>5928.96</v>
      </c>
      <c r="E50" s="3">
        <f>0.5*D32+0.3*C32+0.2*B32</f>
        <v>5750</v>
      </c>
      <c r="F50" s="3">
        <f>0.5*E32+0.3*D32+0.2*C32</f>
        <v>5810</v>
      </c>
      <c r="G50" s="3">
        <f>0.5*F32+0.3*E32+0.2*D32</f>
        <v>5864.1524976617156</v>
      </c>
      <c r="H50" s="3">
        <f>0.5*G32+0.3*F32+0.2*E32</f>
        <v>5930.4211015750061</v>
      </c>
      <c r="I50" s="3">
        <f>0.5*H32+0.3*G32+0.2*F32</f>
        <v>5937.9919517340422</v>
      </c>
      <c r="J50" s="3">
        <f>0.5*I32+0.3*H32+0.2*G32</f>
        <v>5911.7365038694497</v>
      </c>
      <c r="K50" s="3">
        <f>0.5*J32+0.3*I32+0.2*H32</f>
        <v>5891.5708742133456</v>
      </c>
      <c r="L50" s="64"/>
      <c r="M50" s="61"/>
      <c r="N50" s="61"/>
      <c r="O50" s="61"/>
      <c r="P50" s="61"/>
      <c r="Q50" s="61"/>
    </row>
    <row r="51" spans="1:17" ht="3.75" customHeight="1" x14ac:dyDescent="0.25">
      <c r="A51" s="49"/>
      <c r="B51" s="60"/>
      <c r="C51" s="60"/>
      <c r="D51" s="60"/>
      <c r="E51" s="60"/>
      <c r="F51" s="61"/>
      <c r="G51" s="61"/>
      <c r="H51" s="61"/>
      <c r="I51" s="61"/>
      <c r="J51" s="61"/>
      <c r="K51" s="61"/>
      <c r="L51" s="60"/>
      <c r="M51" s="61"/>
      <c r="N51" s="61"/>
      <c r="O51" s="61"/>
      <c r="P51" s="61"/>
      <c r="Q51" s="61"/>
    </row>
    <row r="52" spans="1:17" x14ac:dyDescent="0.25">
      <c r="A52" s="49" t="s">
        <v>46</v>
      </c>
      <c r="B52" s="10">
        <f>B50</f>
        <v>6598.3</v>
      </c>
      <c r="C52" s="10">
        <f>C50</f>
        <v>6369</v>
      </c>
      <c r="D52" s="3">
        <f>IF(D50&gt;C32,D50,C32)</f>
        <v>6000</v>
      </c>
      <c r="E52" s="3">
        <f>IF(E50&gt;D32,E50,D32)</f>
        <v>5750</v>
      </c>
      <c r="F52" s="3">
        <f>IF(F50&gt;E32,F50,E32)</f>
        <v>5810</v>
      </c>
      <c r="G52" s="3">
        <f>IF(G50&gt;F32,G50,F32)</f>
        <v>5968.3049953234313</v>
      </c>
      <c r="H52" s="3">
        <f>IF(H50&gt;G32,H50,G32)</f>
        <v>5959.8592059559533</v>
      </c>
      <c r="I52" s="3">
        <f>IF(I50&gt;H32,I50,H32)</f>
        <v>5937.9919517340422</v>
      </c>
      <c r="J52" s="3">
        <f>IF(J50&gt;I32,J50,I32)</f>
        <v>5911.7365038694497</v>
      </c>
      <c r="K52" s="3">
        <f>IF(K50&gt;J32,K50,J32)</f>
        <v>5891.5708742133456</v>
      </c>
      <c r="L52" s="60"/>
      <c r="M52" s="61"/>
      <c r="N52" s="61"/>
      <c r="O52" s="61"/>
      <c r="P52" s="61"/>
      <c r="Q52" s="61"/>
    </row>
    <row r="53" spans="1:17" s="48" customFormat="1" ht="16.5" customHeight="1" x14ac:dyDescent="0.25">
      <c r="A53" s="59"/>
      <c r="B53" s="39" t="str">
        <f>B2</f>
        <v>2014-15</v>
      </c>
      <c r="C53" s="39" t="str">
        <f t="shared" ref="C53:K53" si="5">C2</f>
        <v>2015-16</v>
      </c>
      <c r="D53" s="39" t="str">
        <f t="shared" si="5"/>
        <v>2016-17</v>
      </c>
      <c r="E53" s="39" t="str">
        <f t="shared" si="5"/>
        <v>2017-18</v>
      </c>
      <c r="F53" s="39" t="str">
        <f t="shared" si="5"/>
        <v>2018-19</v>
      </c>
      <c r="G53" s="39" t="str">
        <f t="shared" si="5"/>
        <v>2019-20</v>
      </c>
      <c r="H53" s="39" t="str">
        <f t="shared" si="5"/>
        <v>2020-21</v>
      </c>
      <c r="I53" s="39" t="str">
        <f t="shared" si="5"/>
        <v>2021-22</v>
      </c>
      <c r="J53" s="39" t="str">
        <f t="shared" si="5"/>
        <v>2022-23</v>
      </c>
      <c r="K53" s="39" t="str">
        <f t="shared" si="5"/>
        <v>2023-24</v>
      </c>
      <c r="L53" s="89"/>
      <c r="M53" s="90"/>
      <c r="N53" s="90"/>
      <c r="O53" s="90"/>
      <c r="P53" s="90"/>
      <c r="Q53" s="90"/>
    </row>
    <row r="54" spans="1:17" x14ac:dyDescent="0.25">
      <c r="A54" s="54" t="str">
        <f>A32</f>
        <v>Total FTEs</v>
      </c>
      <c r="B54" s="3">
        <f>B32</f>
        <v>5500</v>
      </c>
      <c r="C54" s="3">
        <f>C32</f>
        <v>6000</v>
      </c>
      <c r="D54" s="3">
        <f>D32</f>
        <v>5700</v>
      </c>
      <c r="E54" s="3">
        <f>E32</f>
        <v>5800</v>
      </c>
      <c r="F54" s="3">
        <f>F32</f>
        <v>5968.3049953234313</v>
      </c>
      <c r="G54" s="3">
        <f>G32</f>
        <v>5959.8592059559533</v>
      </c>
      <c r="H54" s="3">
        <f>H32</f>
        <v>5912.7463817651396</v>
      </c>
      <c r="I54" s="3">
        <f>I32</f>
        <v>5891.8814962974338</v>
      </c>
      <c r="J54" s="3">
        <f>J32</f>
        <v>5882.914297942174</v>
      </c>
      <c r="K54" s="3">
        <f>K32</f>
        <v>5879.0643106508869</v>
      </c>
      <c r="L54" s="60"/>
      <c r="M54" s="61"/>
      <c r="N54" s="61"/>
      <c r="O54" s="61"/>
      <c r="P54" s="61"/>
      <c r="Q54" s="61"/>
    </row>
    <row r="55" spans="1:17" x14ac:dyDescent="0.25">
      <c r="A55" s="54" t="str">
        <f>A52</f>
        <v>Greater of 20-30-50% or previous FTE</v>
      </c>
      <c r="B55" s="3">
        <f t="shared" ref="B55:K55" si="6">B52</f>
        <v>6598.3</v>
      </c>
      <c r="C55" s="3">
        <f t="shared" si="6"/>
        <v>6369</v>
      </c>
      <c r="D55" s="3">
        <f t="shared" si="6"/>
        <v>6000</v>
      </c>
      <c r="E55" s="3">
        <f t="shared" si="6"/>
        <v>5750</v>
      </c>
      <c r="F55" s="3">
        <f t="shared" si="6"/>
        <v>5810</v>
      </c>
      <c r="G55" s="3">
        <f t="shared" si="6"/>
        <v>5968.3049953234313</v>
      </c>
      <c r="H55" s="3">
        <f t="shared" si="6"/>
        <v>5959.8592059559533</v>
      </c>
      <c r="I55" s="3">
        <f t="shared" si="6"/>
        <v>5937.9919517340422</v>
      </c>
      <c r="J55" s="3">
        <f t="shared" si="6"/>
        <v>5911.7365038694497</v>
      </c>
      <c r="K55" s="3">
        <f t="shared" si="6"/>
        <v>5891.5708742133456</v>
      </c>
      <c r="L55" s="60"/>
      <c r="M55" s="61"/>
      <c r="N55" s="61"/>
      <c r="O55" s="61"/>
      <c r="P55" s="61"/>
      <c r="Q55" s="61"/>
    </row>
    <row r="56" spans="1:17" ht="4.5" customHeight="1" x14ac:dyDescent="0.25">
      <c r="A56" s="54"/>
      <c r="B56" s="86"/>
      <c r="C56" s="86"/>
      <c r="D56" s="86"/>
      <c r="E56" s="86"/>
      <c r="F56" s="86"/>
      <c r="G56" s="86"/>
      <c r="H56" s="86"/>
      <c r="I56" s="86"/>
      <c r="J56" s="86"/>
      <c r="K56" s="86"/>
      <c r="L56" s="60"/>
      <c r="M56" s="61"/>
      <c r="N56" s="61"/>
      <c r="O56" s="61"/>
      <c r="P56" s="61"/>
      <c r="Q56" s="61"/>
    </row>
    <row r="57" spans="1:17" x14ac:dyDescent="0.25">
      <c r="A57" s="49" t="s">
        <v>119</v>
      </c>
      <c r="B57" s="3">
        <f>B54*B60</f>
        <v>21450000</v>
      </c>
      <c r="C57" s="3">
        <f>C54*C60</f>
        <v>23400000</v>
      </c>
      <c r="D57" s="3">
        <f>D54*D60</f>
        <v>22800000</v>
      </c>
      <c r="E57" s="3">
        <f>E54*E60</f>
        <v>23582800</v>
      </c>
      <c r="F57" s="3">
        <f>F54*F60</f>
        <v>24873806.313759696</v>
      </c>
      <c r="G57" s="3">
        <f>G54*G60</f>
        <v>25459572.400194883</v>
      </c>
      <c r="H57" s="3">
        <f>H54*H60</f>
        <v>25889771.741772883</v>
      </c>
      <c r="I57" s="3">
        <f>I54*I60</f>
        <v>26443372.275804844</v>
      </c>
      <c r="J57" s="3">
        <f>J54*J60</f>
        <v>27063204.728153784</v>
      </c>
      <c r="K57" s="3">
        <f>K54*K60</f>
        <v>27721630.949545145</v>
      </c>
      <c r="L57" s="60"/>
      <c r="M57" s="61"/>
      <c r="N57" s="61"/>
      <c r="O57" s="61"/>
      <c r="P57" s="61"/>
      <c r="Q57" s="61"/>
    </row>
    <row r="58" spans="1:17" x14ac:dyDescent="0.25">
      <c r="A58" s="49" t="s">
        <v>66</v>
      </c>
      <c r="B58" s="3">
        <f>B55*B61</f>
        <v>16825665</v>
      </c>
      <c r="C58" s="3">
        <f>C55*C61</f>
        <v>16240950</v>
      </c>
      <c r="D58" s="3">
        <f>D55*D61</f>
        <v>15600000</v>
      </c>
      <c r="E58" s="3">
        <f>E55*E61</f>
        <v>16100000</v>
      </c>
      <c r="F58" s="3">
        <f>F55*F61</f>
        <v>16593360</v>
      </c>
      <c r="G58" s="3">
        <f>G55*G61</f>
        <v>17386388.647976592</v>
      </c>
      <c r="H58" s="3">
        <f>H55*H61</f>
        <v>17709020.751055494</v>
      </c>
      <c r="I58" s="3">
        <f>I55*I61</f>
        <v>17996925.672258664</v>
      </c>
      <c r="J58" s="3">
        <f>J55*J61</f>
        <v>18275697.40499704</v>
      </c>
      <c r="K58" s="3">
        <f>K55*K61</f>
        <v>18577623.985114381</v>
      </c>
      <c r="L58" s="61"/>
      <c r="M58" s="61"/>
      <c r="N58" s="61"/>
      <c r="O58" s="61"/>
      <c r="P58" s="61"/>
      <c r="Q58" s="61"/>
    </row>
    <row r="59" spans="1:17" ht="6.75" customHeight="1" x14ac:dyDescent="0.25">
      <c r="A59" s="49"/>
      <c r="B59" s="86"/>
      <c r="C59" s="86"/>
      <c r="D59" s="86"/>
      <c r="E59" s="86"/>
      <c r="F59" s="86"/>
      <c r="G59" s="86"/>
      <c r="H59" s="86"/>
      <c r="I59" s="86"/>
      <c r="J59" s="86"/>
      <c r="K59" s="86"/>
      <c r="L59" s="61"/>
      <c r="M59" s="61"/>
      <c r="N59" s="61"/>
      <c r="O59" s="61"/>
      <c r="P59" s="61"/>
      <c r="Q59" s="61"/>
    </row>
    <row r="60" spans="1:17" x14ac:dyDescent="0.25">
      <c r="A60" s="49" t="s">
        <v>120</v>
      </c>
      <c r="B60" s="35">
        <v>3900</v>
      </c>
      <c r="C60" s="35">
        <v>3900</v>
      </c>
      <c r="D60" s="35">
        <v>4000</v>
      </c>
      <c r="E60" s="35">
        <v>4066</v>
      </c>
      <c r="F60" s="3">
        <f>E60*(1+Proj!$F33)</f>
        <v>4167.6499999999996</v>
      </c>
      <c r="G60" s="3">
        <f>F60*(1+Proj!$F33)</f>
        <v>4271.8412499999995</v>
      </c>
      <c r="H60" s="3">
        <f>G60*(1+Proj!$F33)</f>
        <v>4378.6372812499994</v>
      </c>
      <c r="I60" s="3">
        <f>H60*(1+Proj!$F33)</f>
        <v>4488.1032132812488</v>
      </c>
      <c r="J60" s="3">
        <f>I60*(1+Proj!$F33)</f>
        <v>4600.30579361328</v>
      </c>
      <c r="K60" s="3">
        <f>J60*(1+Proj!$F33)</f>
        <v>4715.3134384536115</v>
      </c>
      <c r="L60" s="61"/>
      <c r="M60" s="61"/>
      <c r="N60" s="61"/>
      <c r="O60" s="61"/>
      <c r="P60" s="61"/>
      <c r="Q60" s="61"/>
    </row>
    <row r="61" spans="1:17" x14ac:dyDescent="0.25">
      <c r="A61" s="49" t="s">
        <v>109</v>
      </c>
      <c r="B61" s="35">
        <v>2550</v>
      </c>
      <c r="C61" s="35">
        <v>2550</v>
      </c>
      <c r="D61" s="35">
        <v>2600</v>
      </c>
      <c r="E61" s="35">
        <v>2800</v>
      </c>
      <c r="F61" s="3">
        <f>E61*(1+Proj!$F34)</f>
        <v>2856</v>
      </c>
      <c r="G61" s="3">
        <f>F61*(1+Proj!$F34)</f>
        <v>2913.12</v>
      </c>
      <c r="H61" s="3">
        <f>G61*(1+Proj!$F34)</f>
        <v>2971.3824</v>
      </c>
      <c r="I61" s="3">
        <f>H61*(1+Proj!$F34)</f>
        <v>3030.8100479999998</v>
      </c>
      <c r="J61" s="3">
        <f>I61*(1+Proj!$F34)</f>
        <v>3091.4262489600001</v>
      </c>
      <c r="K61" s="3">
        <f>J61*(1+Proj!$F34)</f>
        <v>3153.2547739392003</v>
      </c>
      <c r="L61" s="61"/>
      <c r="M61" s="61"/>
      <c r="N61" s="61"/>
      <c r="O61" s="61"/>
      <c r="P61" s="61"/>
      <c r="Q61" s="61"/>
    </row>
    <row r="62" spans="1:17" x14ac:dyDescent="0.25">
      <c r="A62" s="70"/>
      <c r="B62" s="60"/>
      <c r="C62" s="60"/>
      <c r="D62" s="60"/>
      <c r="E62" s="60"/>
      <c r="F62" s="61"/>
      <c r="G62" s="61"/>
      <c r="H62" s="61"/>
      <c r="I62" s="61"/>
      <c r="J62" s="61"/>
      <c r="K62" s="61"/>
      <c r="L62" s="61"/>
      <c r="M62" s="61"/>
      <c r="N62" s="61"/>
      <c r="O62" s="61"/>
      <c r="P62" s="61"/>
      <c r="Q62" s="61"/>
    </row>
    <row r="63" spans="1:17" x14ac:dyDescent="0.25">
      <c r="A63" s="70"/>
      <c r="B63" s="60"/>
      <c r="C63" s="87"/>
      <c r="D63" s="87"/>
      <c r="E63" s="87"/>
      <c r="F63" s="87"/>
      <c r="G63" s="87"/>
      <c r="H63" s="87"/>
      <c r="I63" s="87"/>
      <c r="J63" s="87"/>
      <c r="K63" s="87"/>
      <c r="L63" s="61"/>
      <c r="M63" s="61"/>
      <c r="N63" s="61"/>
      <c r="O63" s="61"/>
      <c r="P63" s="61"/>
      <c r="Q63" s="61"/>
    </row>
    <row r="64" spans="1:17" x14ac:dyDescent="0.25">
      <c r="A64" s="70"/>
      <c r="B64" s="60"/>
      <c r="C64" s="87"/>
      <c r="D64" s="87"/>
      <c r="E64" s="87"/>
      <c r="F64" s="87"/>
      <c r="G64" s="87"/>
      <c r="H64" s="87"/>
      <c r="I64" s="87"/>
      <c r="J64" s="87"/>
      <c r="K64" s="87"/>
      <c r="L64" s="60"/>
      <c r="M64" s="61"/>
      <c r="N64" s="61"/>
      <c r="O64" s="61"/>
      <c r="P64" s="61"/>
      <c r="Q64" s="61"/>
    </row>
    <row r="65" spans="1:17" x14ac:dyDescent="0.25">
      <c r="A65" s="70"/>
      <c r="B65" s="60"/>
      <c r="C65" s="60"/>
      <c r="D65" s="60"/>
      <c r="E65" s="60"/>
      <c r="F65" s="61"/>
      <c r="G65" s="61"/>
      <c r="H65" s="61"/>
      <c r="I65" s="61"/>
      <c r="J65" s="61"/>
      <c r="K65" s="61"/>
      <c r="L65" s="60"/>
      <c r="M65" s="61"/>
      <c r="N65" s="61"/>
      <c r="O65" s="61"/>
      <c r="P65" s="61"/>
      <c r="Q65" s="61"/>
    </row>
    <row r="66" spans="1:17" x14ac:dyDescent="0.25">
      <c r="A66" s="70"/>
      <c r="B66" s="60"/>
      <c r="C66" s="60"/>
      <c r="D66" s="60"/>
      <c r="E66" s="60"/>
      <c r="F66" s="61"/>
      <c r="G66" s="61"/>
      <c r="H66" s="61"/>
      <c r="I66" s="61"/>
      <c r="J66" s="61"/>
      <c r="K66" s="61"/>
      <c r="L66" s="60"/>
      <c r="M66" s="61"/>
      <c r="N66" s="61"/>
      <c r="O66" s="61"/>
      <c r="P66" s="61"/>
      <c r="Q66" s="61"/>
    </row>
    <row r="67" spans="1:17" x14ac:dyDescent="0.25">
      <c r="A67" s="70"/>
      <c r="B67" s="60"/>
      <c r="C67" s="60"/>
      <c r="D67" s="60"/>
      <c r="E67" s="60"/>
      <c r="F67" s="61"/>
      <c r="G67" s="61"/>
      <c r="H67" s="61"/>
      <c r="I67" s="61"/>
      <c r="J67" s="61"/>
      <c r="K67" s="61"/>
      <c r="L67" s="60"/>
      <c r="M67" s="61"/>
      <c r="N67" s="61"/>
      <c r="O67" s="61"/>
      <c r="P67" s="61"/>
      <c r="Q67" s="61"/>
    </row>
    <row r="68" spans="1:17" x14ac:dyDescent="0.25">
      <c r="A68" s="70"/>
      <c r="B68" s="60"/>
      <c r="C68" s="60"/>
      <c r="D68" s="60"/>
      <c r="E68" s="60"/>
      <c r="F68" s="61"/>
      <c r="G68" s="61"/>
      <c r="H68" s="61"/>
      <c r="I68" s="61"/>
      <c r="J68" s="61"/>
      <c r="K68" s="61"/>
      <c r="L68" s="60"/>
      <c r="M68" s="61"/>
      <c r="N68" s="61"/>
      <c r="O68" s="61"/>
      <c r="P68" s="61"/>
      <c r="Q68" s="61"/>
    </row>
    <row r="69" spans="1:17" x14ac:dyDescent="0.25">
      <c r="A69" s="70"/>
      <c r="B69" s="60"/>
      <c r="C69" s="60"/>
      <c r="D69" s="60"/>
      <c r="E69" s="60"/>
      <c r="F69" s="61"/>
      <c r="G69" s="61"/>
      <c r="H69" s="61"/>
      <c r="I69" s="61"/>
      <c r="J69" s="61"/>
      <c r="K69" s="61"/>
      <c r="L69" s="60"/>
      <c r="M69" s="61"/>
      <c r="N69" s="61"/>
      <c r="O69" s="61"/>
      <c r="P69" s="61"/>
      <c r="Q69" s="61"/>
    </row>
    <row r="70" spans="1:17" x14ac:dyDescent="0.25">
      <c r="A70" s="70"/>
      <c r="B70" s="60"/>
      <c r="C70" s="60"/>
      <c r="D70" s="60"/>
      <c r="E70" s="60"/>
      <c r="F70" s="61"/>
      <c r="G70" s="61"/>
      <c r="H70" s="61"/>
      <c r="I70" s="61"/>
      <c r="J70" s="61"/>
      <c r="K70" s="61"/>
      <c r="L70" s="60"/>
      <c r="M70" s="61"/>
      <c r="N70" s="61"/>
      <c r="O70" s="61"/>
      <c r="P70" s="61"/>
      <c r="Q70" s="61"/>
    </row>
    <row r="71" spans="1:17" x14ac:dyDescent="0.25">
      <c r="A71" s="70"/>
      <c r="B71" s="60"/>
      <c r="C71" s="60"/>
      <c r="D71" s="60"/>
      <c r="E71" s="60"/>
      <c r="F71" s="61"/>
      <c r="G71" s="61"/>
      <c r="H71" s="61"/>
      <c r="I71" s="61"/>
      <c r="J71" s="61"/>
      <c r="K71" s="61"/>
      <c r="L71" s="60"/>
      <c r="M71" s="61"/>
      <c r="N71" s="61"/>
      <c r="O71" s="61"/>
      <c r="P71" s="61"/>
      <c r="Q71" s="61"/>
    </row>
    <row r="72" spans="1:17" x14ac:dyDescent="0.25">
      <c r="A72" s="70"/>
      <c r="B72" s="60"/>
      <c r="C72" s="60"/>
      <c r="D72" s="60"/>
      <c r="E72" s="60"/>
      <c r="F72" s="61"/>
      <c r="G72" s="61"/>
      <c r="H72" s="61"/>
      <c r="I72" s="61"/>
      <c r="J72" s="61"/>
      <c r="K72" s="61"/>
      <c r="L72" s="60"/>
      <c r="M72" s="61"/>
      <c r="N72" s="61"/>
      <c r="O72" s="61"/>
      <c r="P72" s="61"/>
      <c r="Q72" s="61"/>
    </row>
    <row r="73" spans="1:17" x14ac:dyDescent="0.25">
      <c r="A73" s="70"/>
      <c r="B73" s="60"/>
      <c r="C73" s="60"/>
      <c r="D73" s="60"/>
      <c r="E73" s="60"/>
      <c r="F73" s="61"/>
      <c r="G73" s="61"/>
      <c r="H73" s="61"/>
      <c r="I73" s="61"/>
      <c r="J73" s="61"/>
      <c r="K73" s="61"/>
      <c r="L73" s="60"/>
      <c r="M73" s="61"/>
      <c r="N73" s="61"/>
      <c r="O73" s="61"/>
      <c r="P73" s="61"/>
      <c r="Q73" s="61"/>
    </row>
    <row r="74" spans="1:17" x14ac:dyDescent="0.25">
      <c r="A74" s="70"/>
      <c r="B74" s="60"/>
      <c r="C74" s="60"/>
      <c r="D74" s="60"/>
      <c r="E74" s="60"/>
      <c r="F74" s="61"/>
      <c r="G74" s="61"/>
      <c r="H74" s="61"/>
      <c r="I74" s="61"/>
      <c r="J74" s="61"/>
      <c r="K74" s="61"/>
      <c r="L74" s="60"/>
      <c r="M74" s="61"/>
      <c r="N74" s="61"/>
      <c r="O74" s="61"/>
      <c r="P74" s="61"/>
      <c r="Q74" s="61"/>
    </row>
  </sheetData>
  <mergeCells count="2">
    <mergeCell ref="B1:D1"/>
    <mergeCell ref="F1:K1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N41"/>
  <sheetViews>
    <sheetView workbookViewId="0"/>
  </sheetViews>
  <sheetFormatPr defaultRowHeight="15" x14ac:dyDescent="0.25"/>
  <cols>
    <col min="1" max="1" width="29.5703125" style="8" customWidth="1"/>
    <col min="2" max="4" width="11.85546875" customWidth="1"/>
    <col min="5" max="11" width="12.140625" customWidth="1"/>
  </cols>
  <sheetData>
    <row r="1" spans="1:14" x14ac:dyDescent="0.25">
      <c r="A1" s="49" t="str">
        <f>Proj!A1</f>
        <v>UpperGrand Community College</v>
      </c>
      <c r="B1" s="50" t="str">
        <f>Proj!B1</f>
        <v>Actual</v>
      </c>
      <c r="C1" s="50"/>
      <c r="D1" s="50"/>
      <c r="E1" s="49" t="str">
        <f>Proj!E1</f>
        <v>Budget</v>
      </c>
      <c r="F1" s="50" t="str">
        <f>Proj!F1</f>
        <v>Projection</v>
      </c>
      <c r="G1" s="50"/>
      <c r="H1" s="50"/>
      <c r="I1" s="50"/>
      <c r="J1" s="50"/>
      <c r="K1" s="50"/>
      <c r="L1" s="61"/>
      <c r="M1" s="61"/>
      <c r="N1" s="61"/>
    </row>
    <row r="2" spans="1:14" ht="27.75" customHeight="1" x14ac:dyDescent="0.25">
      <c r="A2" s="49"/>
      <c r="B2" s="49" t="str">
        <f>Proj!B2</f>
        <v>2014-15</v>
      </c>
      <c r="C2" s="49" t="str">
        <f>Proj!C2</f>
        <v>2015-16</v>
      </c>
      <c r="D2" s="49" t="str">
        <f>Proj!D2</f>
        <v>2016-17</v>
      </c>
      <c r="E2" s="49" t="str">
        <f>Proj!E2</f>
        <v>2017-18</v>
      </c>
      <c r="F2" s="49" t="str">
        <f>Proj!F2</f>
        <v>2018-19</v>
      </c>
      <c r="G2" s="49" t="str">
        <f>Proj!G2</f>
        <v>2019-20</v>
      </c>
      <c r="H2" s="49" t="str">
        <f>Proj!H2</f>
        <v>2020-21</v>
      </c>
      <c r="I2" s="49" t="str">
        <f>Proj!I2</f>
        <v>2021-22</v>
      </c>
      <c r="J2" s="49" t="str">
        <f>Proj!J2</f>
        <v>2022-23</v>
      </c>
      <c r="K2" s="49" t="str">
        <f>Proj!K2</f>
        <v>2023-24</v>
      </c>
      <c r="L2" s="61"/>
      <c r="M2" s="61"/>
      <c r="N2" s="61"/>
    </row>
    <row r="3" spans="1:14" ht="15" customHeight="1" x14ac:dyDescent="0.25">
      <c r="A3" s="53" t="s">
        <v>47</v>
      </c>
      <c r="B3" s="62"/>
      <c r="C3" s="62"/>
      <c r="D3" s="62"/>
      <c r="E3" s="63"/>
      <c r="F3" s="61"/>
      <c r="G3" s="61"/>
      <c r="H3" s="61"/>
      <c r="I3" s="61"/>
      <c r="J3" s="61"/>
      <c r="K3" s="61"/>
      <c r="L3" s="61"/>
      <c r="M3" s="61"/>
      <c r="N3" s="61"/>
    </row>
    <row r="4" spans="1:14" s="9" customFormat="1" ht="15" customHeight="1" x14ac:dyDescent="0.25">
      <c r="A4" s="49" t="s">
        <v>48</v>
      </c>
      <c r="B4" s="44">
        <v>175</v>
      </c>
      <c r="C4" s="44">
        <v>177</v>
      </c>
      <c r="D4" s="45">
        <v>178</v>
      </c>
      <c r="E4" s="45">
        <v>180</v>
      </c>
      <c r="F4" s="17">
        <f>E4+Proj!$F40</f>
        <v>180</v>
      </c>
      <c r="G4" s="17">
        <f>F4+Proj!$F40</f>
        <v>180</v>
      </c>
      <c r="H4" s="17">
        <f>G4+Proj!$F40</f>
        <v>180</v>
      </c>
      <c r="I4" s="17">
        <f>H4+Proj!$F40</f>
        <v>180</v>
      </c>
      <c r="J4" s="17">
        <f>I4+Proj!$F40</f>
        <v>180</v>
      </c>
      <c r="K4" s="17">
        <f>J4+Proj!$F40</f>
        <v>180</v>
      </c>
      <c r="L4" s="71"/>
      <c r="M4" s="71"/>
      <c r="N4" s="71"/>
    </row>
    <row r="5" spans="1:14" ht="15" customHeight="1" x14ac:dyDescent="0.25">
      <c r="A5" s="49" t="s">
        <v>49</v>
      </c>
      <c r="B5" s="36">
        <v>12</v>
      </c>
      <c r="C5" s="36">
        <v>13</v>
      </c>
      <c r="D5" s="36">
        <v>17</v>
      </c>
      <c r="E5" s="36">
        <v>16</v>
      </c>
      <c r="F5" s="17">
        <f>E5+Proj!$F41</f>
        <v>16</v>
      </c>
      <c r="G5" s="17">
        <f>F5+Proj!$F41</f>
        <v>16</v>
      </c>
      <c r="H5" s="17">
        <f>G5+Proj!$F41</f>
        <v>16</v>
      </c>
      <c r="I5" s="17">
        <f>H5+Proj!$F41</f>
        <v>16</v>
      </c>
      <c r="J5" s="17">
        <f>I5+Proj!$F41</f>
        <v>16</v>
      </c>
      <c r="K5" s="17">
        <f>J5+Proj!$F41</f>
        <v>16</v>
      </c>
      <c r="L5" s="61"/>
      <c r="M5" s="61"/>
      <c r="N5" s="61"/>
    </row>
    <row r="6" spans="1:14" ht="15" customHeight="1" x14ac:dyDescent="0.25">
      <c r="A6" s="49" t="s">
        <v>84</v>
      </c>
      <c r="B6" s="36">
        <v>115</v>
      </c>
      <c r="C6" s="36">
        <v>115</v>
      </c>
      <c r="D6" s="36">
        <v>120</v>
      </c>
      <c r="E6" s="36">
        <v>115</v>
      </c>
      <c r="F6" s="17">
        <f>E6+Proj!$F42</f>
        <v>115</v>
      </c>
      <c r="G6" s="17">
        <f>F6+Proj!$F42</f>
        <v>115</v>
      </c>
      <c r="H6" s="17">
        <f>G6+Proj!$F42</f>
        <v>115</v>
      </c>
      <c r="I6" s="17">
        <f>H6+Proj!$F42</f>
        <v>115</v>
      </c>
      <c r="J6" s="17">
        <f>I6+Proj!$F42</f>
        <v>115</v>
      </c>
      <c r="K6" s="17">
        <f>J6+Proj!$F42</f>
        <v>115</v>
      </c>
      <c r="L6" s="61"/>
      <c r="M6" s="61"/>
      <c r="N6" s="61"/>
    </row>
    <row r="7" spans="1:14" ht="15" customHeight="1" x14ac:dyDescent="0.25">
      <c r="A7" s="49" t="s">
        <v>83</v>
      </c>
      <c r="B7" s="36">
        <v>90</v>
      </c>
      <c r="C7" s="36">
        <v>90</v>
      </c>
      <c r="D7" s="36">
        <v>95</v>
      </c>
      <c r="E7" s="36">
        <v>90</v>
      </c>
      <c r="F7" s="17">
        <f>E7+Proj!$F43</f>
        <v>90</v>
      </c>
      <c r="G7" s="17">
        <f>F7+Proj!$F43</f>
        <v>90</v>
      </c>
      <c r="H7" s="17">
        <f>G7+Proj!$F43</f>
        <v>90</v>
      </c>
      <c r="I7" s="17">
        <f>H7+Proj!$F43</f>
        <v>90</v>
      </c>
      <c r="J7" s="17">
        <f>I7+Proj!$F43</f>
        <v>90</v>
      </c>
      <c r="K7" s="17">
        <f>J7+Proj!$F43</f>
        <v>90</v>
      </c>
      <c r="L7" s="61"/>
      <c r="M7" s="61"/>
      <c r="N7" s="61"/>
    </row>
    <row r="8" spans="1:14" ht="15" customHeight="1" x14ac:dyDescent="0.25">
      <c r="A8" s="49" t="s">
        <v>80</v>
      </c>
      <c r="B8" s="36">
        <v>250</v>
      </c>
      <c r="C8" s="36">
        <v>260</v>
      </c>
      <c r="D8" s="36">
        <v>270</v>
      </c>
      <c r="E8" s="36">
        <v>260</v>
      </c>
      <c r="F8" s="17">
        <f>E8+Proj!$F44</f>
        <v>262</v>
      </c>
      <c r="G8" s="17">
        <f>F8+Proj!$F44</f>
        <v>264</v>
      </c>
      <c r="H8" s="17">
        <f>G8+Proj!$F44</f>
        <v>266</v>
      </c>
      <c r="I8" s="17">
        <f>H8+Proj!$F44</f>
        <v>268</v>
      </c>
      <c r="J8" s="17">
        <f>I8+Proj!$F44</f>
        <v>270</v>
      </c>
      <c r="K8" s="17">
        <f>J8+Proj!$F44</f>
        <v>272</v>
      </c>
      <c r="L8" s="61"/>
      <c r="M8" s="61"/>
      <c r="N8" s="61"/>
    </row>
    <row r="9" spans="1:14" ht="15" customHeight="1" x14ac:dyDescent="0.25">
      <c r="A9" s="53" t="s">
        <v>52</v>
      </c>
      <c r="B9" s="64"/>
      <c r="C9" s="64"/>
      <c r="D9" s="64"/>
      <c r="E9" s="64"/>
      <c r="F9" s="61"/>
      <c r="G9" s="61"/>
      <c r="H9" s="61"/>
      <c r="I9" s="61"/>
      <c r="J9" s="61"/>
      <c r="K9" s="61"/>
      <c r="L9" s="61"/>
      <c r="M9" s="61"/>
      <c r="N9" s="61"/>
    </row>
    <row r="10" spans="1:14" ht="15" customHeight="1" x14ac:dyDescent="0.25">
      <c r="A10" s="49" t="s">
        <v>48</v>
      </c>
      <c r="B10" s="36">
        <v>100000</v>
      </c>
      <c r="C10" s="36">
        <v>95000</v>
      </c>
      <c r="D10" s="36">
        <v>92000</v>
      </c>
      <c r="E10" s="36">
        <v>90000</v>
      </c>
      <c r="F10" s="17">
        <f>E10*(1+Proj!$F46)</f>
        <v>91800</v>
      </c>
      <c r="G10" s="17">
        <f>F10*(1+Proj!$F46)</f>
        <v>93636</v>
      </c>
      <c r="H10" s="17">
        <f>G10*(1+Proj!$F46)</f>
        <v>95508.72</v>
      </c>
      <c r="I10" s="17">
        <f>H10*(1+Proj!$F46)</f>
        <v>97418.894400000005</v>
      </c>
      <c r="J10" s="17">
        <f>I10*(1+Proj!$F46)</f>
        <v>99367.272288000007</v>
      </c>
      <c r="K10" s="17">
        <f>J10*(1+Proj!$F46)</f>
        <v>101354.61773376001</v>
      </c>
      <c r="L10" s="61"/>
      <c r="M10" s="61"/>
      <c r="N10" s="61"/>
    </row>
    <row r="11" spans="1:14" ht="15" customHeight="1" x14ac:dyDescent="0.25">
      <c r="A11" s="49" t="s">
        <v>49</v>
      </c>
      <c r="B11" s="36">
        <v>130000</v>
      </c>
      <c r="C11" s="36">
        <v>120000</v>
      </c>
      <c r="D11" s="36">
        <v>110000</v>
      </c>
      <c r="E11" s="36">
        <v>115000</v>
      </c>
      <c r="F11" s="17">
        <f>E11*(1+Proj!$F47)</f>
        <v>117300</v>
      </c>
      <c r="G11" s="17">
        <f>F11*(1+Proj!$F47)</f>
        <v>119646</v>
      </c>
      <c r="H11" s="17">
        <f>G11*(1+Proj!$F47)</f>
        <v>122038.92</v>
      </c>
      <c r="I11" s="17">
        <f>H11*(1+Proj!$F47)</f>
        <v>124479.69839999999</v>
      </c>
      <c r="J11" s="17">
        <f>I11*(1+Proj!$F47)</f>
        <v>126969.29236799999</v>
      </c>
      <c r="K11" s="17">
        <f>J11*(1+Proj!$F47)</f>
        <v>129508.67821535999</v>
      </c>
      <c r="L11" s="61"/>
      <c r="M11" s="61"/>
      <c r="N11" s="61"/>
    </row>
    <row r="12" spans="1:14" ht="15" customHeight="1" x14ac:dyDescent="0.25">
      <c r="A12" s="49" t="s">
        <v>85</v>
      </c>
      <c r="B12" s="36">
        <v>65000</v>
      </c>
      <c r="C12" s="36">
        <v>66000</v>
      </c>
      <c r="D12" s="36">
        <v>70000</v>
      </c>
      <c r="E12" s="36">
        <v>75000</v>
      </c>
      <c r="F12" s="17">
        <f>E12*(1+Proj!$F48)</f>
        <v>76500</v>
      </c>
      <c r="G12" s="17">
        <f>F12*(1+Proj!$F48)</f>
        <v>78030</v>
      </c>
      <c r="H12" s="17">
        <f>G12*(1+Proj!$F48)</f>
        <v>79590.600000000006</v>
      </c>
      <c r="I12" s="17">
        <f>H12*(1+Proj!$F48)</f>
        <v>81182.412000000011</v>
      </c>
      <c r="J12" s="17">
        <f>I12*(1+Proj!$F48)</f>
        <v>82806.060240000006</v>
      </c>
      <c r="K12" s="17">
        <f>J12*(1+Proj!$F48)</f>
        <v>84462.181444800008</v>
      </c>
      <c r="L12" s="61"/>
      <c r="M12" s="61"/>
      <c r="N12" s="61"/>
    </row>
    <row r="13" spans="1:14" ht="15" customHeight="1" x14ac:dyDescent="0.25">
      <c r="A13" s="49" t="s">
        <v>82</v>
      </c>
      <c r="B13" s="36">
        <v>16000</v>
      </c>
      <c r="C13" s="36">
        <v>16400</v>
      </c>
      <c r="D13" s="36">
        <v>16800</v>
      </c>
      <c r="E13" s="36">
        <v>16600</v>
      </c>
      <c r="F13" s="17">
        <f>E13*(1+Proj!$F49)</f>
        <v>16932</v>
      </c>
      <c r="G13" s="17">
        <f>F13*(1+Proj!$F49)</f>
        <v>17270.64</v>
      </c>
      <c r="H13" s="17">
        <f>G13*(1+Proj!$F49)</f>
        <v>17616.052800000001</v>
      </c>
      <c r="I13" s="17">
        <f>H13*(1+Proj!$F49)</f>
        <v>17968.373856000002</v>
      </c>
      <c r="J13" s="17">
        <f>I13*(1+Proj!$F49)</f>
        <v>18327.741333120004</v>
      </c>
      <c r="K13" s="17">
        <f>J13*(1+Proj!$F49)</f>
        <v>18694.296159782403</v>
      </c>
      <c r="L13" s="61"/>
      <c r="M13" s="61"/>
      <c r="N13" s="61"/>
    </row>
    <row r="14" spans="1:14" ht="15" customHeight="1" x14ac:dyDescent="0.25">
      <c r="A14" s="49" t="s">
        <v>81</v>
      </c>
      <c r="B14" s="36">
        <v>7000</v>
      </c>
      <c r="C14" s="36">
        <v>7100</v>
      </c>
      <c r="D14" s="36">
        <v>6900</v>
      </c>
      <c r="E14" s="36">
        <v>7200</v>
      </c>
      <c r="F14" s="17">
        <f>E14*(1+Proj!$F50)</f>
        <v>7344</v>
      </c>
      <c r="G14" s="17">
        <f>F14*(1+Proj!$F50)</f>
        <v>7490.88</v>
      </c>
      <c r="H14" s="17">
        <f>G14*(1+Proj!$F50)</f>
        <v>7640.6976000000004</v>
      </c>
      <c r="I14" s="17">
        <f>H14*(1+Proj!$F50)</f>
        <v>7793.5115520000008</v>
      </c>
      <c r="J14" s="17">
        <f>I14*(1+Proj!$F50)</f>
        <v>7949.3817830400012</v>
      </c>
      <c r="K14" s="17">
        <f>J14*(1+Proj!$F50)</f>
        <v>8108.3694187008014</v>
      </c>
      <c r="L14" s="61"/>
      <c r="M14" s="61"/>
      <c r="N14" s="61"/>
    </row>
    <row r="15" spans="1:14" ht="15" customHeight="1" x14ac:dyDescent="0.25">
      <c r="A15" s="53" t="s">
        <v>53</v>
      </c>
      <c r="B15" s="64"/>
      <c r="C15" s="64"/>
      <c r="D15" s="64"/>
      <c r="E15" s="64"/>
      <c r="F15" s="61"/>
      <c r="G15" s="61"/>
      <c r="H15" s="61"/>
      <c r="I15" s="61"/>
      <c r="J15" s="61"/>
      <c r="K15" s="61"/>
      <c r="L15" s="61"/>
      <c r="M15" s="61"/>
      <c r="N15" s="61"/>
    </row>
    <row r="16" spans="1:14" ht="15" customHeight="1" x14ac:dyDescent="0.25">
      <c r="A16" s="49" t="s">
        <v>48</v>
      </c>
      <c r="B16" s="10">
        <f t="shared" ref="B16:K16" si="0">B4*B10</f>
        <v>17500000</v>
      </c>
      <c r="C16" s="10">
        <f t="shared" si="0"/>
        <v>16815000</v>
      </c>
      <c r="D16" s="10">
        <f t="shared" si="0"/>
        <v>16376000</v>
      </c>
      <c r="E16" s="10">
        <f t="shared" si="0"/>
        <v>16200000</v>
      </c>
      <c r="F16" s="10">
        <f t="shared" si="0"/>
        <v>16524000</v>
      </c>
      <c r="G16" s="10">
        <f t="shared" si="0"/>
        <v>16854480</v>
      </c>
      <c r="H16" s="10">
        <f t="shared" si="0"/>
        <v>17191569.600000001</v>
      </c>
      <c r="I16" s="10">
        <f t="shared" si="0"/>
        <v>17535400.992000002</v>
      </c>
      <c r="J16" s="10">
        <f t="shared" si="0"/>
        <v>17886109.011840001</v>
      </c>
      <c r="K16" s="10">
        <f t="shared" si="0"/>
        <v>18243831.192076802</v>
      </c>
      <c r="L16" s="61"/>
      <c r="M16" s="61"/>
      <c r="N16" s="61"/>
    </row>
    <row r="17" spans="1:14" ht="15" customHeight="1" x14ac:dyDescent="0.25">
      <c r="A17" s="49" t="s">
        <v>49</v>
      </c>
      <c r="B17" s="10">
        <f t="shared" ref="B17:K17" si="1">B5*B11</f>
        <v>1560000</v>
      </c>
      <c r="C17" s="10">
        <f t="shared" si="1"/>
        <v>1560000</v>
      </c>
      <c r="D17" s="10">
        <f t="shared" si="1"/>
        <v>1870000</v>
      </c>
      <c r="E17" s="10">
        <f t="shared" si="1"/>
        <v>1840000</v>
      </c>
      <c r="F17" s="10">
        <f t="shared" si="1"/>
        <v>1876800</v>
      </c>
      <c r="G17" s="10">
        <f t="shared" si="1"/>
        <v>1914336</v>
      </c>
      <c r="H17" s="10">
        <f t="shared" si="1"/>
        <v>1952622.72</v>
      </c>
      <c r="I17" s="10">
        <f t="shared" si="1"/>
        <v>1991675.1743999999</v>
      </c>
      <c r="J17" s="10">
        <f t="shared" si="1"/>
        <v>2031508.6778879999</v>
      </c>
      <c r="K17" s="10">
        <f t="shared" si="1"/>
        <v>2072138.8514457599</v>
      </c>
      <c r="L17" s="61"/>
      <c r="M17" s="61"/>
      <c r="N17" s="61"/>
    </row>
    <row r="18" spans="1:14" ht="15" customHeight="1" x14ac:dyDescent="0.25">
      <c r="A18" s="49" t="s">
        <v>85</v>
      </c>
      <c r="B18" s="10">
        <f t="shared" ref="B18:K18" si="2">B6*B12</f>
        <v>7475000</v>
      </c>
      <c r="C18" s="10">
        <f t="shared" si="2"/>
        <v>7590000</v>
      </c>
      <c r="D18" s="10">
        <f t="shared" si="2"/>
        <v>8400000</v>
      </c>
      <c r="E18" s="10">
        <f t="shared" si="2"/>
        <v>8625000</v>
      </c>
      <c r="F18" s="10">
        <f t="shared" si="2"/>
        <v>8797500</v>
      </c>
      <c r="G18" s="10">
        <f t="shared" si="2"/>
        <v>8973450</v>
      </c>
      <c r="H18" s="10">
        <f t="shared" si="2"/>
        <v>9152919</v>
      </c>
      <c r="I18" s="10">
        <f t="shared" si="2"/>
        <v>9335977.3800000008</v>
      </c>
      <c r="J18" s="10">
        <f t="shared" si="2"/>
        <v>9522696.9276000001</v>
      </c>
      <c r="K18" s="10">
        <f t="shared" si="2"/>
        <v>9713150.8661520015</v>
      </c>
      <c r="L18" s="61"/>
      <c r="M18" s="61"/>
      <c r="N18" s="61"/>
    </row>
    <row r="19" spans="1:14" ht="15" customHeight="1" x14ac:dyDescent="0.25">
      <c r="A19" s="49" t="s">
        <v>51</v>
      </c>
      <c r="B19" s="10">
        <f t="shared" ref="B19:K19" si="3">B7*B13</f>
        <v>1440000</v>
      </c>
      <c r="C19" s="10">
        <f t="shared" si="3"/>
        <v>1476000</v>
      </c>
      <c r="D19" s="10">
        <f t="shared" si="3"/>
        <v>1596000</v>
      </c>
      <c r="E19" s="10">
        <f t="shared" si="3"/>
        <v>1494000</v>
      </c>
      <c r="F19" s="10">
        <f t="shared" si="3"/>
        <v>1523880</v>
      </c>
      <c r="G19" s="10">
        <f t="shared" si="3"/>
        <v>1554357.5999999999</v>
      </c>
      <c r="H19" s="10">
        <f t="shared" si="3"/>
        <v>1585444.7520000001</v>
      </c>
      <c r="I19" s="10">
        <f t="shared" si="3"/>
        <v>1617153.6470400002</v>
      </c>
      <c r="J19" s="10">
        <f t="shared" si="3"/>
        <v>1649496.7199808003</v>
      </c>
      <c r="K19" s="10">
        <f t="shared" si="3"/>
        <v>1682486.6543804163</v>
      </c>
      <c r="L19" s="61"/>
      <c r="M19" s="61"/>
      <c r="N19" s="61"/>
    </row>
    <row r="20" spans="1:14" ht="15" customHeight="1" x14ac:dyDescent="0.25">
      <c r="A20" s="49" t="s">
        <v>54</v>
      </c>
      <c r="B20" s="10">
        <v>400000</v>
      </c>
      <c r="C20" s="10">
        <v>420000</v>
      </c>
      <c r="D20" s="10">
        <v>370000</v>
      </c>
      <c r="E20" s="10">
        <v>350000</v>
      </c>
      <c r="F20" s="17">
        <f>E20*(1+Proj!$F49)</f>
        <v>357000</v>
      </c>
      <c r="G20" s="17">
        <f>F20*(1+Proj!$F49)</f>
        <v>364140</v>
      </c>
      <c r="H20" s="17">
        <f>G20*(1+Proj!$F49)</f>
        <v>371422.8</v>
      </c>
      <c r="I20" s="17">
        <f>H20*(1+Proj!$F49)</f>
        <v>378851.25599999999</v>
      </c>
      <c r="J20" s="17">
        <f>I20*(1+Proj!$F49)</f>
        <v>386428.28112</v>
      </c>
      <c r="K20" s="17">
        <f>J20*(1+Proj!$F49)</f>
        <v>394156.84674240003</v>
      </c>
      <c r="L20" s="61"/>
      <c r="M20" s="61"/>
      <c r="N20" s="61"/>
    </row>
    <row r="21" spans="1:14" ht="15" customHeight="1" thickBot="1" x14ac:dyDescent="0.3">
      <c r="A21" s="49" t="s">
        <v>55</v>
      </c>
      <c r="B21" s="38">
        <v>8000000</v>
      </c>
      <c r="C21" s="38">
        <v>8000000</v>
      </c>
      <c r="D21" s="38">
        <v>7800000</v>
      </c>
      <c r="E21" s="38">
        <v>8000000</v>
      </c>
      <c r="F21" s="17">
        <f>E21*(1+Proj!$F50)</f>
        <v>8160000</v>
      </c>
      <c r="G21" s="17">
        <f>F21*(1+Proj!$F50)</f>
        <v>8323200</v>
      </c>
      <c r="H21" s="17">
        <f>G21*(1+Proj!$F50)</f>
        <v>8489664</v>
      </c>
      <c r="I21" s="17">
        <f>H21*(1+Proj!$F50)</f>
        <v>8659457.2799999993</v>
      </c>
      <c r="J21" s="17">
        <f>I21*(1+Proj!$F50)</f>
        <v>8832646.4255999997</v>
      </c>
      <c r="K21" s="17">
        <f>J21*(1+Proj!$F50)</f>
        <v>9009299.3541119993</v>
      </c>
      <c r="L21" s="61"/>
      <c r="M21" s="61"/>
      <c r="N21" s="61"/>
    </row>
    <row r="22" spans="1:14" ht="15" customHeight="1" x14ac:dyDescent="0.25">
      <c r="A22" s="49"/>
      <c r="B22" s="18">
        <f t="shared" ref="B22:K22" si="4">SUM(B16:B21)</f>
        <v>36375000</v>
      </c>
      <c r="C22" s="18">
        <f t="shared" si="4"/>
        <v>35861000</v>
      </c>
      <c r="D22" s="18">
        <f t="shared" si="4"/>
        <v>36412000</v>
      </c>
      <c r="E22" s="18">
        <f t="shared" si="4"/>
        <v>36509000</v>
      </c>
      <c r="F22" s="18">
        <f t="shared" si="4"/>
        <v>37239180</v>
      </c>
      <c r="G22" s="18">
        <f t="shared" si="4"/>
        <v>37983963.600000001</v>
      </c>
      <c r="H22" s="18">
        <f t="shared" si="4"/>
        <v>38743642.872000001</v>
      </c>
      <c r="I22" s="18">
        <f t="shared" si="4"/>
        <v>39518515.729440004</v>
      </c>
      <c r="J22" s="18">
        <f t="shared" si="4"/>
        <v>40308886.044028796</v>
      </c>
      <c r="K22" s="18">
        <f t="shared" si="4"/>
        <v>41115063.764909372</v>
      </c>
      <c r="L22" s="61"/>
      <c r="M22" s="61"/>
      <c r="N22" s="61"/>
    </row>
    <row r="23" spans="1:14" ht="12" customHeight="1" x14ac:dyDescent="0.25">
      <c r="A23" s="53" t="s">
        <v>56</v>
      </c>
      <c r="B23" s="64"/>
      <c r="C23" s="64"/>
      <c r="D23" s="64"/>
      <c r="E23" s="64"/>
      <c r="F23" s="61"/>
      <c r="G23" s="61"/>
      <c r="H23" s="61"/>
      <c r="I23" s="61"/>
      <c r="J23" s="61"/>
      <c r="K23" s="61"/>
      <c r="L23" s="61"/>
      <c r="M23" s="61"/>
      <c r="N23" s="61"/>
    </row>
    <row r="24" spans="1:14" ht="15" customHeight="1" x14ac:dyDescent="0.25">
      <c r="A24" s="49" t="s">
        <v>57</v>
      </c>
      <c r="B24" s="43">
        <v>0.51661265992300864</v>
      </c>
      <c r="C24" s="43">
        <v>0.51814461166217796</v>
      </c>
      <c r="D24" s="43">
        <v>0.53463049091476489</v>
      </c>
      <c r="E24" s="43">
        <v>0.57397108701052968</v>
      </c>
      <c r="F24" s="46">
        <f>Proj!F52</f>
        <v>0.57399999999999995</v>
      </c>
      <c r="G24" s="46">
        <f>F24</f>
        <v>0.57399999999999995</v>
      </c>
      <c r="H24" s="46">
        <f t="shared" ref="H24:K25" si="5">G24</f>
        <v>0.57399999999999995</v>
      </c>
      <c r="I24" s="46">
        <f t="shared" si="5"/>
        <v>0.57399999999999995</v>
      </c>
      <c r="J24" s="46">
        <f t="shared" si="5"/>
        <v>0.57399999999999995</v>
      </c>
      <c r="K24" s="46">
        <f t="shared" si="5"/>
        <v>0.57399999999999995</v>
      </c>
      <c r="L24" s="61"/>
      <c r="M24" s="61"/>
      <c r="N24" s="61"/>
    </row>
    <row r="25" spans="1:14" ht="15" customHeight="1" x14ac:dyDescent="0.25">
      <c r="A25" s="49" t="s">
        <v>58</v>
      </c>
      <c r="B25" s="43">
        <v>0.08</v>
      </c>
      <c r="C25" s="43">
        <v>0.08</v>
      </c>
      <c r="D25" s="43">
        <v>0.08</v>
      </c>
      <c r="E25" s="43">
        <v>0.08</v>
      </c>
      <c r="F25" s="46">
        <f>Proj!F53</f>
        <v>0.08</v>
      </c>
      <c r="G25" s="46">
        <f>F25</f>
        <v>0.08</v>
      </c>
      <c r="H25" s="46">
        <f t="shared" si="5"/>
        <v>0.08</v>
      </c>
      <c r="I25" s="46">
        <f t="shared" si="5"/>
        <v>0.08</v>
      </c>
      <c r="J25" s="46">
        <f t="shared" si="5"/>
        <v>0.08</v>
      </c>
      <c r="K25" s="46">
        <f t="shared" si="5"/>
        <v>0.08</v>
      </c>
      <c r="L25" s="61"/>
      <c r="M25" s="61"/>
      <c r="N25" s="61"/>
    </row>
    <row r="26" spans="1:14" ht="15" customHeight="1" x14ac:dyDescent="0.25">
      <c r="A26" s="49" t="s">
        <v>59</v>
      </c>
      <c r="B26" s="10">
        <f t="shared" ref="B26:K26" si="6">B24*(B16+B17+B18)+B25*(B19+B21)</f>
        <v>14463516.931057034</v>
      </c>
      <c r="C26" s="10">
        <f t="shared" si="6"/>
        <v>14211704.841808451</v>
      </c>
      <c r="D26" s="10">
        <f t="shared" si="6"/>
        <v>14997444.060914826</v>
      </c>
      <c r="E26" s="10">
        <f t="shared" si="6"/>
        <v>16064459.035135774</v>
      </c>
      <c r="F26" s="10">
        <f t="shared" si="6"/>
        <v>16386534.6</v>
      </c>
      <c r="G26" s="10">
        <f t="shared" si="6"/>
        <v>16714265.291999999</v>
      </c>
      <c r="H26" s="10">
        <f t="shared" si="6"/>
        <v>17048550.59784</v>
      </c>
      <c r="I26" s="10">
        <f t="shared" si="6"/>
        <v>17389521.6097968</v>
      </c>
      <c r="J26" s="10">
        <f t="shared" si="6"/>
        <v>17737312.041992735</v>
      </c>
      <c r="K26" s="10">
        <f t="shared" si="6"/>
        <v>18092058.282832593</v>
      </c>
      <c r="L26" s="61"/>
      <c r="M26" s="61"/>
      <c r="N26" s="61"/>
    </row>
    <row r="27" spans="1:14" ht="15" customHeight="1" thickBot="1" x14ac:dyDescent="0.3">
      <c r="A27" s="49" t="s">
        <v>60</v>
      </c>
      <c r="B27" s="12">
        <f t="shared" ref="B27:K27" si="7">B8*B14</f>
        <v>1750000</v>
      </c>
      <c r="C27" s="12">
        <f t="shared" si="7"/>
        <v>1846000</v>
      </c>
      <c r="D27" s="12">
        <f t="shared" si="7"/>
        <v>1863000</v>
      </c>
      <c r="E27" s="12">
        <f t="shared" si="7"/>
        <v>1872000</v>
      </c>
      <c r="F27" s="12">
        <f t="shared" si="7"/>
        <v>1924128</v>
      </c>
      <c r="G27" s="12">
        <f t="shared" si="7"/>
        <v>1977592.32</v>
      </c>
      <c r="H27" s="12">
        <f t="shared" si="7"/>
        <v>2032425.5616000001</v>
      </c>
      <c r="I27" s="12">
        <f t="shared" si="7"/>
        <v>2088661.0959360001</v>
      </c>
      <c r="J27" s="12">
        <f t="shared" si="7"/>
        <v>2146333.0814208002</v>
      </c>
      <c r="K27" s="12">
        <f t="shared" si="7"/>
        <v>2205476.4818866178</v>
      </c>
      <c r="L27" s="61"/>
      <c r="M27" s="61"/>
      <c r="N27" s="61"/>
    </row>
    <row r="28" spans="1:14" ht="15" customHeight="1" x14ac:dyDescent="0.25">
      <c r="A28" s="49" t="s">
        <v>61</v>
      </c>
      <c r="B28" s="47">
        <f>B27+B26</f>
        <v>16213516.931057034</v>
      </c>
      <c r="C28" s="47">
        <f t="shared" ref="C28:K28" si="8">C27+C26</f>
        <v>16057704.841808451</v>
      </c>
      <c r="D28" s="47">
        <f t="shared" si="8"/>
        <v>16860444.060914826</v>
      </c>
      <c r="E28" s="47">
        <f t="shared" si="8"/>
        <v>17936459.035135776</v>
      </c>
      <c r="F28" s="47">
        <f t="shared" si="8"/>
        <v>18310662.600000001</v>
      </c>
      <c r="G28" s="47">
        <f t="shared" si="8"/>
        <v>18691857.612</v>
      </c>
      <c r="H28" s="47">
        <f t="shared" si="8"/>
        <v>19080976.15944</v>
      </c>
      <c r="I28" s="47">
        <f t="shared" si="8"/>
        <v>19478182.7057328</v>
      </c>
      <c r="J28" s="47">
        <f t="shared" si="8"/>
        <v>19883645.123413537</v>
      </c>
      <c r="K28" s="47">
        <f t="shared" si="8"/>
        <v>20297534.764719211</v>
      </c>
      <c r="L28" s="61"/>
      <c r="M28" s="61"/>
      <c r="N28" s="61"/>
    </row>
    <row r="29" spans="1:14" x14ac:dyDescent="0.25">
      <c r="A29" s="49" t="s">
        <v>88</v>
      </c>
      <c r="B29" s="10">
        <f>Enroll!B32/Salary!B4</f>
        <v>31.428571428571427</v>
      </c>
      <c r="C29" s="10">
        <f>Enroll!C32/Salary!C4</f>
        <v>33.898305084745765</v>
      </c>
      <c r="D29" s="10">
        <f>Enroll!D32/Salary!D4</f>
        <v>32.022471910112358</v>
      </c>
      <c r="E29" s="10">
        <f>Enroll!E32/Salary!E4</f>
        <v>32.222222222222221</v>
      </c>
      <c r="F29" s="10">
        <f>Enroll!F32/Salary!F4</f>
        <v>33.157249974019059</v>
      </c>
      <c r="G29" s="10">
        <f>Enroll!G32/Salary!G4</f>
        <v>33.110328921977519</v>
      </c>
      <c r="H29" s="10">
        <f>Enroll!H32/Salary!H4</f>
        <v>32.848591009806334</v>
      </c>
      <c r="I29" s="10">
        <f>Enroll!I32/Salary!I4</f>
        <v>32.732674979430186</v>
      </c>
      <c r="J29" s="10">
        <f>Enroll!J32/Salary!J4</f>
        <v>32.682857210789855</v>
      </c>
      <c r="K29" s="10">
        <f>Enroll!K32/Salary!K4</f>
        <v>32.661468392504929</v>
      </c>
      <c r="L29" s="61"/>
      <c r="M29" s="61"/>
      <c r="N29" s="61"/>
    </row>
    <row r="30" spans="1:14" x14ac:dyDescent="0.25">
      <c r="A30" s="70"/>
      <c r="B30" s="61"/>
      <c r="C30" s="61"/>
      <c r="D30" s="61"/>
      <c r="E30" s="61"/>
      <c r="F30" s="61"/>
      <c r="G30" s="61"/>
      <c r="H30" s="61"/>
      <c r="I30" s="61"/>
      <c r="J30" s="61"/>
      <c r="K30" s="61"/>
      <c r="L30" s="61"/>
      <c r="M30" s="61"/>
      <c r="N30" s="61"/>
    </row>
    <row r="31" spans="1:14" x14ac:dyDescent="0.25">
      <c r="A31" s="70"/>
      <c r="B31" s="61"/>
      <c r="C31" s="61"/>
      <c r="D31" s="61"/>
      <c r="E31" s="61"/>
      <c r="F31" s="61"/>
      <c r="G31" s="61"/>
      <c r="H31" s="61"/>
      <c r="I31" s="61"/>
      <c r="J31" s="61"/>
      <c r="K31" s="61"/>
      <c r="L31" s="61"/>
      <c r="M31" s="61"/>
      <c r="N31" s="61"/>
    </row>
    <row r="32" spans="1:14" x14ac:dyDescent="0.25">
      <c r="A32" s="70"/>
      <c r="B32" s="61"/>
      <c r="C32" s="61"/>
      <c r="D32" s="61"/>
      <c r="E32" s="61"/>
      <c r="F32" s="61"/>
      <c r="G32" s="61"/>
      <c r="H32" s="61"/>
      <c r="I32" s="61"/>
      <c r="J32" s="61"/>
      <c r="K32" s="61"/>
      <c r="L32" s="61"/>
      <c r="M32" s="61"/>
      <c r="N32" s="61"/>
    </row>
    <row r="33" spans="1:14" x14ac:dyDescent="0.25">
      <c r="A33" s="70"/>
      <c r="B33" s="61"/>
      <c r="C33" s="61"/>
      <c r="D33" s="61"/>
      <c r="E33" s="61"/>
      <c r="F33" s="61"/>
      <c r="G33" s="61"/>
      <c r="H33" s="61"/>
      <c r="I33" s="61"/>
      <c r="J33" s="61"/>
      <c r="K33" s="61"/>
      <c r="L33" s="61"/>
      <c r="M33" s="61"/>
      <c r="N33" s="61"/>
    </row>
    <row r="34" spans="1:14" x14ac:dyDescent="0.25">
      <c r="A34" s="70"/>
      <c r="B34" s="61"/>
      <c r="C34" s="61"/>
      <c r="D34" s="61"/>
      <c r="E34" s="61"/>
      <c r="F34" s="61"/>
      <c r="G34" s="61"/>
      <c r="H34" s="61"/>
      <c r="I34" s="61"/>
      <c r="J34" s="61"/>
      <c r="K34" s="61"/>
      <c r="L34" s="61"/>
      <c r="M34" s="61"/>
      <c r="N34" s="61"/>
    </row>
    <row r="35" spans="1:14" x14ac:dyDescent="0.25">
      <c r="A35" s="70"/>
      <c r="B35" s="61"/>
      <c r="C35" s="61"/>
      <c r="D35" s="61"/>
      <c r="E35" s="61"/>
      <c r="F35" s="61"/>
      <c r="G35" s="61"/>
      <c r="H35" s="61"/>
      <c r="I35" s="61"/>
      <c r="J35" s="61"/>
      <c r="K35" s="61"/>
      <c r="L35" s="61"/>
      <c r="M35" s="61"/>
      <c r="N35" s="61"/>
    </row>
    <row r="36" spans="1:14" x14ac:dyDescent="0.25">
      <c r="A36" s="70"/>
      <c r="B36" s="61"/>
      <c r="C36" s="61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1"/>
    </row>
    <row r="37" spans="1:14" x14ac:dyDescent="0.25">
      <c r="A37" s="70"/>
      <c r="B37" s="61"/>
      <c r="C37" s="61"/>
      <c r="D37" s="61"/>
      <c r="E37" s="61"/>
      <c r="F37" s="61"/>
      <c r="G37" s="61"/>
      <c r="H37" s="61"/>
      <c r="I37" s="61"/>
      <c r="J37" s="61"/>
      <c r="K37" s="61"/>
      <c r="L37" s="61"/>
      <c r="M37" s="61"/>
      <c r="N37" s="61"/>
    </row>
    <row r="38" spans="1:14" x14ac:dyDescent="0.25">
      <c r="A38" s="70"/>
      <c r="B38" s="61"/>
      <c r="C38" s="61"/>
      <c r="D38" s="61"/>
      <c r="E38" s="61"/>
      <c r="F38" s="61"/>
      <c r="G38" s="61"/>
      <c r="H38" s="61"/>
      <c r="I38" s="61"/>
      <c r="J38" s="61"/>
      <c r="K38" s="61"/>
      <c r="L38" s="61"/>
      <c r="M38" s="61"/>
      <c r="N38" s="61"/>
    </row>
    <row r="39" spans="1:14" x14ac:dyDescent="0.25">
      <c r="A39" s="70"/>
      <c r="B39" s="61"/>
      <c r="C39" s="61"/>
      <c r="D39" s="61"/>
      <c r="E39" s="61"/>
      <c r="F39" s="61"/>
      <c r="G39" s="61"/>
      <c r="H39" s="61"/>
      <c r="I39" s="61"/>
      <c r="J39" s="61"/>
      <c r="K39" s="61"/>
      <c r="L39" s="61"/>
      <c r="M39" s="61"/>
      <c r="N39" s="61"/>
    </row>
    <row r="40" spans="1:14" x14ac:dyDescent="0.25">
      <c r="A40" s="70"/>
      <c r="B40" s="61"/>
      <c r="C40" s="61"/>
      <c r="D40" s="61"/>
      <c r="E40" s="61"/>
      <c r="F40" s="61"/>
      <c r="G40" s="61"/>
      <c r="H40" s="61"/>
      <c r="I40" s="61"/>
      <c r="J40" s="61"/>
      <c r="K40" s="61"/>
      <c r="L40" s="61"/>
      <c r="M40" s="61"/>
      <c r="N40" s="61"/>
    </row>
    <row r="41" spans="1:14" x14ac:dyDescent="0.25">
      <c r="A41" s="70"/>
      <c r="B41" s="61"/>
      <c r="C41" s="61"/>
      <c r="D41" s="61"/>
      <c r="E41" s="61"/>
      <c r="F41" s="61"/>
      <c r="G41" s="61"/>
      <c r="H41" s="61"/>
      <c r="I41" s="61"/>
      <c r="J41" s="61"/>
      <c r="K41" s="61"/>
      <c r="L41" s="61"/>
      <c r="M41" s="61"/>
      <c r="N41" s="61"/>
    </row>
  </sheetData>
  <mergeCells count="2">
    <mergeCell ref="B1:D1"/>
    <mergeCell ref="F1:K1"/>
  </mergeCells>
  <pageMargins left="0.7" right="0.7" top="0.17" bottom="0.16" header="0.19" footer="0.16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Charts</vt:lpstr>
      </vt:variant>
      <vt:variant>
        <vt:i4>6</vt:i4>
      </vt:variant>
    </vt:vector>
  </HeadingPairs>
  <TitlesOfParts>
    <vt:vector size="10" baseType="lpstr">
      <vt:lpstr>Notes</vt:lpstr>
      <vt:lpstr>Proj</vt:lpstr>
      <vt:lpstr>Enroll</vt:lpstr>
      <vt:lpstr>Salary</vt:lpstr>
      <vt:lpstr>GraphSurplusAndDeficit</vt:lpstr>
      <vt:lpstr>GraphFTEProj</vt:lpstr>
      <vt:lpstr>GraphReturnRate</vt:lpstr>
      <vt:lpstr>GraphPctFullTime</vt:lpstr>
      <vt:lpstr>GraphNewFallHeads</vt:lpstr>
      <vt:lpstr>GraphHeadsToFTE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Nathan</dc:creator>
  <cp:lastModifiedBy>Nathan Dickmeyer</cp:lastModifiedBy>
  <cp:lastPrinted>2018-01-21T21:19:33Z</cp:lastPrinted>
  <dcterms:created xsi:type="dcterms:W3CDTF">2017-11-15T19:21:30Z</dcterms:created>
  <dcterms:modified xsi:type="dcterms:W3CDTF">2019-07-27T20:35:03Z</dcterms:modified>
</cp:coreProperties>
</file>