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d\Writing\Modeling Book\Spreadsheets\Final Final Final Final\"/>
    </mc:Choice>
  </mc:AlternateContent>
  <xr:revisionPtr revIDLastSave="0" documentId="13_ncr:1_{66C8FC13-A2E7-4753-B4A3-370179D01721}" xr6:coauthVersionLast="47" xr6:coauthVersionMax="47" xr10:uidLastSave="{00000000-0000-0000-0000-000000000000}"/>
  <bookViews>
    <workbookView xWindow="-120" yWindow="-120" windowWidth="19440" windowHeight="14880" xr2:uid="{B379CA02-A9A6-4AA7-B58B-D86B40358E46}"/>
  </bookViews>
  <sheets>
    <sheet name="Summary" sheetId="1" r:id="rId1"/>
    <sheet name="Enrollment" sheetId="2" r:id="rId2"/>
    <sheet name="Staffing" sheetId="3" r:id="rId3"/>
    <sheet name="KPI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" l="1"/>
  <c r="C43" i="2"/>
  <c r="C42" i="2"/>
  <c r="D37" i="2"/>
  <c r="C27" i="2"/>
  <c r="D24" i="2"/>
  <c r="D21" i="2"/>
  <c r="C18" i="2"/>
  <c r="E15" i="2"/>
  <c r="F15" i="2" s="1"/>
  <c r="G15" i="2" s="1"/>
  <c r="H15" i="2" s="1"/>
  <c r="D15" i="2"/>
  <c r="D18" i="2" s="1"/>
  <c r="D5" i="2"/>
  <c r="C6" i="2"/>
  <c r="D3" i="2"/>
  <c r="C4" i="2"/>
  <c r="F5" i="1"/>
  <c r="E24" i="2"/>
  <c r="F24" i="2" s="1"/>
  <c r="G24" i="2" s="1"/>
  <c r="H24" i="2" s="1"/>
  <c r="E25" i="2"/>
  <c r="F25" i="2" s="1"/>
  <c r="G25" i="2" s="1"/>
  <c r="H25" i="2" s="1"/>
  <c r="D25" i="2"/>
  <c r="E21" i="2"/>
  <c r="F21" i="2" s="1"/>
  <c r="G21" i="2" s="1"/>
  <c r="H21" i="2" s="1"/>
  <c r="E22" i="2"/>
  <c r="F22" i="2" s="1"/>
  <c r="G22" i="2" s="1"/>
  <c r="H22" i="2" s="1"/>
  <c r="D22" i="2"/>
  <c r="H44" i="2"/>
  <c r="B12" i="2"/>
  <c r="B10" i="2"/>
  <c r="C17" i="2"/>
  <c r="D17" i="2" s="1"/>
  <c r="E17" i="2" s="1"/>
  <c r="F17" i="2" s="1"/>
  <c r="G17" i="2" s="1"/>
  <c r="H17" i="2" s="1"/>
  <c r="C2" i="2"/>
  <c r="D2" i="2" s="1"/>
  <c r="E2" i="2" s="1"/>
  <c r="F2" i="2" s="1"/>
  <c r="G2" i="2" s="1"/>
  <c r="H2" i="2" s="1"/>
  <c r="C36" i="2"/>
  <c r="C7" i="2"/>
  <c r="C6" i="4"/>
  <c r="D6" i="4"/>
  <c r="E6" i="4"/>
  <c r="F6" i="4"/>
  <c r="G6" i="4"/>
  <c r="B6" i="4"/>
  <c r="B2" i="4"/>
  <c r="C2" i="4"/>
  <c r="D2" i="4"/>
  <c r="E2" i="4"/>
  <c r="F2" i="4"/>
  <c r="G2" i="4"/>
  <c r="A2" i="4"/>
  <c r="A1" i="4"/>
  <c r="C21" i="3" l="1"/>
  <c r="C14" i="3"/>
  <c r="C15" i="3"/>
  <c r="C16" i="3"/>
  <c r="C17" i="3"/>
  <c r="C13" i="3"/>
  <c r="B33" i="3"/>
  <c r="H9" i="3"/>
  <c r="A1" i="3"/>
  <c r="C33" i="3" l="1"/>
  <c r="D36" i="2"/>
  <c r="E36" i="2" s="1"/>
  <c r="F36" i="2" s="1"/>
  <c r="G36" i="2" s="1"/>
  <c r="H36" i="2" s="1"/>
  <c r="B24" i="2" l="1"/>
  <c r="C24" i="2"/>
  <c r="B21" i="2"/>
  <c r="B14" i="2"/>
  <c r="A1" i="2"/>
  <c r="C22" i="2"/>
  <c r="D38" i="2" l="1"/>
  <c r="C25" i="2"/>
  <c r="G8" i="1" l="1"/>
  <c r="E37" i="2"/>
  <c r="G9" i="1"/>
  <c r="E38" i="2"/>
  <c r="F38" i="2" l="1"/>
  <c r="H9" i="1"/>
  <c r="F37" i="2"/>
  <c r="H8" i="1"/>
  <c r="G37" i="2" l="1"/>
  <c r="I8" i="1"/>
  <c r="G38" i="2"/>
  <c r="I9" i="1"/>
  <c r="H38" i="2" l="1"/>
  <c r="K9" i="1" s="1"/>
  <c r="J9" i="1"/>
  <c r="H37" i="2"/>
  <c r="K8" i="1" s="1"/>
  <c r="J8" i="1"/>
  <c r="B12" i="3" l="1"/>
  <c r="C12" i="3" s="1"/>
  <c r="D12" i="3" s="1"/>
  <c r="E12" i="3" s="1"/>
  <c r="F12" i="3" s="1"/>
  <c r="G12" i="3" s="1"/>
  <c r="B8" i="3"/>
  <c r="C8" i="3" s="1"/>
  <c r="D8" i="3" s="1"/>
  <c r="E8" i="3" s="1"/>
  <c r="F8" i="3" s="1"/>
  <c r="G8" i="3" s="1"/>
  <c r="B9" i="3"/>
  <c r="H38" i="3"/>
  <c r="B38" i="3"/>
  <c r="C38" i="3" s="1"/>
  <c r="D38" i="3" s="1"/>
  <c r="E38" i="3" s="1"/>
  <c r="F38" i="3" s="1"/>
  <c r="G38" i="3" s="1"/>
  <c r="B31" i="3"/>
  <c r="C31" i="3" s="1"/>
  <c r="D31" i="3" s="1"/>
  <c r="E31" i="3" s="1"/>
  <c r="F31" i="3" s="1"/>
  <c r="G31" i="3" s="1"/>
  <c r="A42" i="3"/>
  <c r="A43" i="3"/>
  <c r="A44" i="3"/>
  <c r="A41" i="3"/>
  <c r="A33" i="3"/>
  <c r="B60" i="3"/>
  <c r="C60" i="3" s="1"/>
  <c r="D60" i="3" s="1"/>
  <c r="E60" i="3" s="1"/>
  <c r="F60" i="3" s="1"/>
  <c r="G60" i="3" s="1"/>
  <c r="B53" i="3"/>
  <c r="C53" i="3" s="1"/>
  <c r="D53" i="3" s="1"/>
  <c r="E53" i="3" s="1"/>
  <c r="F53" i="3" s="1"/>
  <c r="G53" i="3" s="1"/>
  <c r="B46" i="3"/>
  <c r="C46" i="3" s="1"/>
  <c r="D46" i="3" s="1"/>
  <c r="E46" i="3" s="1"/>
  <c r="F46" i="3" s="1"/>
  <c r="G46" i="3" s="1"/>
  <c r="B24" i="3"/>
  <c r="C24" i="3" s="1"/>
  <c r="D24" i="3" s="1"/>
  <c r="E24" i="3" s="1"/>
  <c r="F24" i="3" s="1"/>
  <c r="G24" i="3" s="1"/>
  <c r="B20" i="3"/>
  <c r="C20" i="3" s="1"/>
  <c r="D20" i="3" s="1"/>
  <c r="E20" i="3" s="1"/>
  <c r="F20" i="3" s="1"/>
  <c r="G20" i="3" s="1"/>
  <c r="F12" i="1"/>
  <c r="G12" i="1" s="1"/>
  <c r="H12" i="1" s="1"/>
  <c r="I12" i="1" s="1"/>
  <c r="J12" i="1" s="1"/>
  <c r="K12" i="1" s="1"/>
  <c r="A62" i="3"/>
  <c r="A63" i="3"/>
  <c r="A64" i="3"/>
  <c r="A65" i="3"/>
  <c r="A66" i="3"/>
  <c r="A61" i="3"/>
  <c r="A54" i="3"/>
  <c r="H53" i="3"/>
  <c r="B55" i="3"/>
  <c r="B56" i="3"/>
  <c r="B57" i="3"/>
  <c r="B58" i="3"/>
  <c r="B54" i="3"/>
  <c r="B26" i="3"/>
  <c r="B27" i="3"/>
  <c r="B28" i="3"/>
  <c r="B29" i="3"/>
  <c r="B25" i="3"/>
  <c r="H25" i="3"/>
  <c r="I2" i="3"/>
  <c r="C9" i="3"/>
  <c r="D9" i="3" s="1"/>
  <c r="H21" i="3"/>
  <c r="B21" i="3"/>
  <c r="A26" i="3"/>
  <c r="A27" i="3"/>
  <c r="A28" i="3"/>
  <c r="A29" i="3"/>
  <c r="A25" i="3"/>
  <c r="A21" i="3"/>
  <c r="A22" i="3"/>
  <c r="A34" i="3"/>
  <c r="A35" i="3"/>
  <c r="A36" i="3"/>
  <c r="A48" i="3"/>
  <c r="A49" i="3"/>
  <c r="A50" i="3"/>
  <c r="A51" i="3"/>
  <c r="A55" i="3"/>
  <c r="A56" i="3"/>
  <c r="A57" i="3"/>
  <c r="A58" i="3"/>
  <c r="A47" i="3"/>
  <c r="A32" i="3"/>
  <c r="A13" i="3"/>
  <c r="A14" i="3"/>
  <c r="A15" i="3"/>
  <c r="A16" i="3"/>
  <c r="A17" i="3"/>
  <c r="A9" i="3"/>
  <c r="A10" i="3"/>
  <c r="B14" i="3"/>
  <c r="B15" i="3"/>
  <c r="B16" i="3"/>
  <c r="B35" i="3" s="1"/>
  <c r="B17" i="3"/>
  <c r="B13" i="3"/>
  <c r="G2" i="3"/>
  <c r="G5" i="3" s="1"/>
  <c r="B43" i="3" s="1"/>
  <c r="D2" i="3"/>
  <c r="B39" i="3" s="1"/>
  <c r="F9" i="1"/>
  <c r="F8" i="1"/>
  <c r="C16" i="2"/>
  <c r="C9" i="2"/>
  <c r="C11" i="2"/>
  <c r="B15" i="2"/>
  <c r="F1" i="2"/>
  <c r="F3" i="1"/>
  <c r="C12" i="2" l="1"/>
  <c r="C13" i="2"/>
  <c r="C8" i="2"/>
  <c r="C10" i="2"/>
  <c r="C41" i="2"/>
  <c r="B4" i="4"/>
  <c r="B3" i="4"/>
  <c r="B7" i="4"/>
  <c r="B5" i="4"/>
  <c r="B50" i="3"/>
  <c r="C40" i="2"/>
  <c r="D9" i="2"/>
  <c r="B40" i="3"/>
  <c r="C40" i="3" s="1"/>
  <c r="D40" i="3" s="1"/>
  <c r="E40" i="3" s="1"/>
  <c r="F40" i="3" s="1"/>
  <c r="G40" i="3" s="1"/>
  <c r="C43" i="3"/>
  <c r="C39" i="3"/>
  <c r="B36" i="3"/>
  <c r="B34" i="3"/>
  <c r="B64" i="3"/>
  <c r="F16" i="1" s="1"/>
  <c r="C58" i="3"/>
  <c r="D58" i="3" s="1"/>
  <c r="E58" i="3" s="1"/>
  <c r="F58" i="3" s="1"/>
  <c r="G58" i="3" s="1"/>
  <c r="B32" i="3"/>
  <c r="C57" i="3"/>
  <c r="D57" i="3" s="1"/>
  <c r="E57" i="3" s="1"/>
  <c r="F57" i="3" s="1"/>
  <c r="G57" i="3" s="1"/>
  <c r="D21" i="3"/>
  <c r="E21" i="3" s="1"/>
  <c r="F21" i="3" s="1"/>
  <c r="G21" i="3" s="1"/>
  <c r="C27" i="3"/>
  <c r="D27" i="3" s="1"/>
  <c r="E27" i="3" s="1"/>
  <c r="F27" i="3" s="1"/>
  <c r="G27" i="3" s="1"/>
  <c r="C26" i="3"/>
  <c r="D26" i="3" s="1"/>
  <c r="E26" i="3" s="1"/>
  <c r="F26" i="3" s="1"/>
  <c r="G26" i="3" s="1"/>
  <c r="C55" i="3"/>
  <c r="D55" i="3" s="1"/>
  <c r="E55" i="3" s="1"/>
  <c r="F55" i="3" s="1"/>
  <c r="G55" i="3" s="1"/>
  <c r="C25" i="3"/>
  <c r="D25" i="3" s="1"/>
  <c r="E25" i="3" s="1"/>
  <c r="F25" i="3" s="1"/>
  <c r="G25" i="3" s="1"/>
  <c r="C54" i="3"/>
  <c r="D54" i="3" s="1"/>
  <c r="E54" i="3" s="1"/>
  <c r="F54" i="3" s="1"/>
  <c r="G54" i="3" s="1"/>
  <c r="E9" i="3"/>
  <c r="C29" i="3"/>
  <c r="D29" i="3" s="1"/>
  <c r="E29" i="3" s="1"/>
  <c r="F29" i="3" s="1"/>
  <c r="G29" i="3" s="1"/>
  <c r="C56" i="3"/>
  <c r="D56" i="3" s="1"/>
  <c r="E56" i="3" s="1"/>
  <c r="F56" i="3" s="1"/>
  <c r="G56" i="3" s="1"/>
  <c r="C28" i="3"/>
  <c r="D28" i="3" s="1"/>
  <c r="E28" i="3" s="1"/>
  <c r="F28" i="3" s="1"/>
  <c r="G28" i="3" s="1"/>
  <c r="B18" i="3"/>
  <c r="G6" i="3"/>
  <c r="B44" i="3" s="1"/>
  <c r="B51" i="3" s="1"/>
  <c r="G3" i="3"/>
  <c r="B41" i="3" s="1"/>
  <c r="B48" i="3" s="1"/>
  <c r="G4" i="3"/>
  <c r="B42" i="3" s="1"/>
  <c r="B49" i="3" s="1"/>
  <c r="G3" i="1"/>
  <c r="D11" i="2"/>
  <c r="C7" i="4"/>
  <c r="D7" i="2" l="1"/>
  <c r="C33" i="2"/>
  <c r="C19" i="2"/>
  <c r="C28" i="2"/>
  <c r="E3" i="2"/>
  <c r="E9" i="2" s="1"/>
  <c r="D4" i="2"/>
  <c r="D10" i="2" s="1"/>
  <c r="C30" i="2"/>
  <c r="C41" i="3"/>
  <c r="D41" i="3" s="1"/>
  <c r="C42" i="3"/>
  <c r="D42" i="3" s="1"/>
  <c r="D40" i="2"/>
  <c r="C44" i="3"/>
  <c r="D44" i="3" s="1"/>
  <c r="B47" i="3"/>
  <c r="B61" i="3" s="1"/>
  <c r="F13" i="1" s="1"/>
  <c r="D39" i="3"/>
  <c r="D43" i="3"/>
  <c r="F9" i="3"/>
  <c r="B63" i="3"/>
  <c r="F15" i="1" s="1"/>
  <c r="B62" i="3"/>
  <c r="F14" i="1" s="1"/>
  <c r="B65" i="3"/>
  <c r="F17" i="1" s="1"/>
  <c r="C50" i="3"/>
  <c r="C47" i="3"/>
  <c r="C45" i="2"/>
  <c r="H3" i="1"/>
  <c r="D16" i="2"/>
  <c r="D6" i="2"/>
  <c r="D42" i="2" l="1"/>
  <c r="D13" i="2"/>
  <c r="D12" i="2"/>
  <c r="D43" i="2" s="1"/>
  <c r="F3" i="2"/>
  <c r="F9" i="2" s="1"/>
  <c r="D8" i="2"/>
  <c r="E7" i="4" s="1"/>
  <c r="D41" i="2"/>
  <c r="C4" i="4"/>
  <c r="C3" i="4"/>
  <c r="C5" i="4"/>
  <c r="D7" i="4"/>
  <c r="C34" i="2"/>
  <c r="E4" i="2"/>
  <c r="E10" i="2" s="1"/>
  <c r="C48" i="3"/>
  <c r="C49" i="3"/>
  <c r="D44" i="2"/>
  <c r="F6" i="1"/>
  <c r="F7" i="1" s="1"/>
  <c r="F10" i="1" s="1"/>
  <c r="D27" i="2"/>
  <c r="C31" i="2"/>
  <c r="C51" i="3"/>
  <c r="E40" i="2"/>
  <c r="E42" i="3"/>
  <c r="E43" i="3"/>
  <c r="E39" i="3"/>
  <c r="E41" i="3"/>
  <c r="E44" i="3"/>
  <c r="C32" i="3"/>
  <c r="C62" i="3"/>
  <c r="G14" i="1" s="1"/>
  <c r="G9" i="3"/>
  <c r="C36" i="3"/>
  <c r="B66" i="3"/>
  <c r="F18" i="1" s="1"/>
  <c r="C34" i="3"/>
  <c r="C35" i="3"/>
  <c r="C18" i="3"/>
  <c r="I3" i="1"/>
  <c r="E16" i="2"/>
  <c r="E5" i="2"/>
  <c r="F4" i="2" l="1"/>
  <c r="F10" i="2" s="1"/>
  <c r="G3" i="2"/>
  <c r="G9" i="2" s="1"/>
  <c r="E7" i="2"/>
  <c r="E11" i="2"/>
  <c r="E44" i="2"/>
  <c r="D45" i="2"/>
  <c r="D13" i="3"/>
  <c r="D17" i="3"/>
  <c r="D16" i="3"/>
  <c r="D15" i="3"/>
  <c r="D14" i="3"/>
  <c r="D33" i="2"/>
  <c r="F20" i="1"/>
  <c r="B8" i="4" s="1"/>
  <c r="D28" i="2"/>
  <c r="G6" i="1" s="1"/>
  <c r="D30" i="2"/>
  <c r="D19" i="2"/>
  <c r="G5" i="1" s="1"/>
  <c r="F43" i="3"/>
  <c r="F42" i="3"/>
  <c r="F44" i="3"/>
  <c r="F41" i="3"/>
  <c r="F39" i="3"/>
  <c r="D33" i="3"/>
  <c r="C61" i="3"/>
  <c r="G13" i="1" s="1"/>
  <c r="C63" i="3"/>
  <c r="G15" i="1" s="1"/>
  <c r="C65" i="3"/>
  <c r="G17" i="1" s="1"/>
  <c r="C64" i="3"/>
  <c r="J3" i="1"/>
  <c r="F40" i="2"/>
  <c r="F16" i="2"/>
  <c r="E6" i="2"/>
  <c r="G4" i="2"/>
  <c r="G10" i="2" s="1"/>
  <c r="H3" i="2" l="1"/>
  <c r="H9" i="2" s="1"/>
  <c r="F44" i="2"/>
  <c r="H4" i="2"/>
  <c r="E42" i="2"/>
  <c r="E13" i="2"/>
  <c r="E12" i="2"/>
  <c r="E43" i="2" s="1"/>
  <c r="G44" i="2"/>
  <c r="E8" i="2"/>
  <c r="E41" i="2"/>
  <c r="D4" i="4"/>
  <c r="F7" i="4"/>
  <c r="D3" i="4"/>
  <c r="D5" i="4"/>
  <c r="D36" i="3"/>
  <c r="D51" i="3"/>
  <c r="D65" i="3" s="1"/>
  <c r="H17" i="1" s="1"/>
  <c r="D31" i="2"/>
  <c r="G7" i="1"/>
  <c r="G10" i="1" s="1"/>
  <c r="E18" i="2"/>
  <c r="E27" i="2"/>
  <c r="D34" i="2"/>
  <c r="K3" i="1"/>
  <c r="H40" i="2" s="1"/>
  <c r="D48" i="3"/>
  <c r="D62" i="3" s="1"/>
  <c r="H14" i="1" s="1"/>
  <c r="D35" i="3"/>
  <c r="D50" i="3"/>
  <c r="D34" i="3"/>
  <c r="D49" i="3"/>
  <c r="D32" i="3"/>
  <c r="D47" i="3"/>
  <c r="G39" i="3"/>
  <c r="G41" i="3"/>
  <c r="G44" i="3"/>
  <c r="G42" i="3"/>
  <c r="G43" i="3"/>
  <c r="C66" i="3"/>
  <c r="G18" i="1" s="1"/>
  <c r="G16" i="1"/>
  <c r="D18" i="3"/>
  <c r="E16" i="3" s="1"/>
  <c r="G40" i="2"/>
  <c r="F5" i="2"/>
  <c r="H10" i="2" l="1"/>
  <c r="F7" i="2"/>
  <c r="F11" i="2"/>
  <c r="E45" i="2"/>
  <c r="E28" i="2"/>
  <c r="H6" i="1" s="1"/>
  <c r="G7" i="4"/>
  <c r="E13" i="3"/>
  <c r="E47" i="3" s="1"/>
  <c r="E14" i="3"/>
  <c r="E15" i="3"/>
  <c r="E17" i="3"/>
  <c r="E30" i="2"/>
  <c r="E33" i="2"/>
  <c r="G20" i="1"/>
  <c r="C8" i="4" s="1"/>
  <c r="D61" i="3"/>
  <c r="H13" i="1" s="1"/>
  <c r="D64" i="3"/>
  <c r="H16" i="1" s="1"/>
  <c r="D63" i="3"/>
  <c r="H15" i="1" s="1"/>
  <c r="E19" i="2"/>
  <c r="H5" i="1" s="1"/>
  <c r="G16" i="2"/>
  <c r="E50" i="3"/>
  <c r="E49" i="3"/>
  <c r="E51" i="3"/>
  <c r="F6" i="2"/>
  <c r="F13" i="2" l="1"/>
  <c r="F12" i="2"/>
  <c r="F43" i="2" s="1"/>
  <c r="F45" i="2" s="1"/>
  <c r="F42" i="2"/>
  <c r="F8" i="2"/>
  <c r="F28" i="2" s="1"/>
  <c r="E31" i="2"/>
  <c r="F41" i="2"/>
  <c r="E4" i="4"/>
  <c r="E3" i="4"/>
  <c r="E5" i="4"/>
  <c r="E48" i="3"/>
  <c r="E33" i="3"/>
  <c r="F18" i="2"/>
  <c r="F27" i="2"/>
  <c r="E34" i="2"/>
  <c r="D66" i="3"/>
  <c r="H18" i="1" s="1"/>
  <c r="E35" i="3"/>
  <c r="E36" i="3"/>
  <c r="E34" i="3"/>
  <c r="E32" i="3"/>
  <c r="E18" i="3"/>
  <c r="F16" i="3" s="1"/>
  <c r="H7" i="1"/>
  <c r="H10" i="1" s="1"/>
  <c r="G5" i="2"/>
  <c r="G7" i="2" l="1"/>
  <c r="G11" i="2"/>
  <c r="F14" i="3"/>
  <c r="F17" i="3"/>
  <c r="F51" i="3" s="1"/>
  <c r="F15" i="3"/>
  <c r="F13" i="3"/>
  <c r="H20" i="1"/>
  <c r="D8" i="4" s="1"/>
  <c r="F33" i="2"/>
  <c r="I6" i="1"/>
  <c r="F30" i="2"/>
  <c r="F19" i="2"/>
  <c r="F31" i="2" s="1"/>
  <c r="H16" i="2"/>
  <c r="F33" i="3"/>
  <c r="E65" i="3"/>
  <c r="I17" i="1" s="1"/>
  <c r="E61" i="3"/>
  <c r="E63" i="3"/>
  <c r="I15" i="1" s="1"/>
  <c r="E62" i="3"/>
  <c r="I14" i="1" s="1"/>
  <c r="F47" i="3"/>
  <c r="E64" i="3"/>
  <c r="I16" i="1" s="1"/>
  <c r="F49" i="3"/>
  <c r="G6" i="2"/>
  <c r="I5" i="1" l="1"/>
  <c r="G13" i="2"/>
  <c r="G12" i="2"/>
  <c r="G43" i="2" s="1"/>
  <c r="G42" i="2"/>
  <c r="G8" i="2"/>
  <c r="G28" i="2" s="1"/>
  <c r="I7" i="1"/>
  <c r="I10" i="1" s="1"/>
  <c r="G41" i="2"/>
  <c r="F4" i="4"/>
  <c r="F3" i="4"/>
  <c r="F5" i="4"/>
  <c r="F36" i="3"/>
  <c r="G18" i="2"/>
  <c r="G27" i="2"/>
  <c r="F34" i="2"/>
  <c r="F48" i="3"/>
  <c r="F35" i="3"/>
  <c r="F50" i="3"/>
  <c r="F62" i="3"/>
  <c r="J14" i="1" s="1"/>
  <c r="F65" i="3"/>
  <c r="J17" i="1" s="1"/>
  <c r="F32" i="3"/>
  <c r="H5" i="2"/>
  <c r="I13" i="1"/>
  <c r="E66" i="3"/>
  <c r="I18" i="1" s="1"/>
  <c r="F34" i="3"/>
  <c r="F18" i="3"/>
  <c r="G17" i="3" s="1"/>
  <c r="I20" i="1" l="1"/>
  <c r="E8" i="4" s="1"/>
  <c r="H7" i="2"/>
  <c r="H11" i="2"/>
  <c r="G45" i="2"/>
  <c r="J6" i="1"/>
  <c r="G33" i="2"/>
  <c r="F64" i="3"/>
  <c r="J16" i="1" s="1"/>
  <c r="G13" i="3"/>
  <c r="G47" i="3" s="1"/>
  <c r="G14" i="3"/>
  <c r="G16" i="3"/>
  <c r="G50" i="3" s="1"/>
  <c r="G15" i="3"/>
  <c r="G49" i="3" s="1"/>
  <c r="G30" i="2"/>
  <c r="G19" i="2"/>
  <c r="G31" i="2" s="1"/>
  <c r="F61" i="3"/>
  <c r="F63" i="3"/>
  <c r="J15" i="1" s="1"/>
  <c r="H6" i="2"/>
  <c r="G51" i="3"/>
  <c r="J5" i="1" l="1"/>
  <c r="J7" i="1"/>
  <c r="J10" i="1" s="1"/>
  <c r="H13" i="2"/>
  <c r="H12" i="2"/>
  <c r="H42" i="2"/>
  <c r="H8" i="2"/>
  <c r="H41" i="2"/>
  <c r="G4" i="4"/>
  <c r="G3" i="4"/>
  <c r="G5" i="4"/>
  <c r="G48" i="3"/>
  <c r="G33" i="3"/>
  <c r="H18" i="2"/>
  <c r="H27" i="2"/>
  <c r="G34" i="2"/>
  <c r="G36" i="3"/>
  <c r="G32" i="3"/>
  <c r="G35" i="3"/>
  <c r="H43" i="2"/>
  <c r="H45" i="2" s="1"/>
  <c r="H28" i="2"/>
  <c r="G34" i="3"/>
  <c r="F66" i="3"/>
  <c r="J18" i="1" s="1"/>
  <c r="J13" i="1"/>
  <c r="G18" i="3"/>
  <c r="J20" i="1" l="1"/>
  <c r="F8" i="4" s="1"/>
  <c r="H33" i="2"/>
  <c r="K6" i="1"/>
  <c r="H30" i="2"/>
  <c r="H19" i="2"/>
  <c r="H31" i="2" s="1"/>
  <c r="G62" i="3"/>
  <c r="K14" i="1" s="1"/>
  <c r="G64" i="3"/>
  <c r="K16" i="1" s="1"/>
  <c r="G63" i="3"/>
  <c r="K15" i="1" s="1"/>
  <c r="G61" i="3"/>
  <c r="K13" i="1" s="1"/>
  <c r="G65" i="3"/>
  <c r="K17" i="1" s="1"/>
  <c r="K5" i="1" l="1"/>
  <c r="K7" i="1" s="1"/>
  <c r="K10" i="1" s="1"/>
  <c r="H34" i="2"/>
  <c r="G66" i="3"/>
  <c r="K18" i="1" s="1"/>
  <c r="K20" i="1" l="1"/>
  <c r="G8" i="4" s="1"/>
</calcChain>
</file>

<file path=xl/sharedStrings.xml><?xml version="1.0" encoding="utf-8"?>
<sst xmlns="http://schemas.openxmlformats.org/spreadsheetml/2006/main" count="123" uniqueCount="109">
  <si>
    <t>Planning Variables</t>
  </si>
  <si>
    <t>Benefit Rate</t>
  </si>
  <si>
    <t>Income Statement</t>
  </si>
  <si>
    <t>Gifts</t>
  </si>
  <si>
    <t>Miscellaneous</t>
  </si>
  <si>
    <t>Revenue</t>
  </si>
  <si>
    <t>Base year, Fall</t>
  </si>
  <si>
    <t>Expenses</t>
  </si>
  <si>
    <t>Year Ending:</t>
  </si>
  <si>
    <t>Instruction</t>
  </si>
  <si>
    <t>Academic Support</t>
  </si>
  <si>
    <t>Student Affairs</t>
  </si>
  <si>
    <t>Administrative Support</t>
  </si>
  <si>
    <t>Plant Operations</t>
  </si>
  <si>
    <t>Fall to Fall New Student Rate Change</t>
  </si>
  <si>
    <t>Drop Outs, not re-enrolling to fall or spring</t>
  </si>
  <si>
    <t>Graduations, annual</t>
  </si>
  <si>
    <t>Tuition, gross</t>
  </si>
  <si>
    <t>Tuition discounts</t>
  </si>
  <si>
    <t>Tuition, net</t>
  </si>
  <si>
    <t>Initial Faculty Count</t>
  </si>
  <si>
    <t>Initial Staff Count</t>
  </si>
  <si>
    <t>Initial Average Faculty Salary</t>
  </si>
  <si>
    <t>Faculty Benefit Rate</t>
  </si>
  <si>
    <t>Initial Average Staff Salary</t>
  </si>
  <si>
    <t>Staff Benefit Rate</t>
  </si>
  <si>
    <t>Initial Non-personnel</t>
  </si>
  <si>
    <t>Salaries</t>
  </si>
  <si>
    <t>Benefits</t>
  </si>
  <si>
    <t>Nonpersonnel</t>
  </si>
  <si>
    <t>Faculty Count</t>
  </si>
  <si>
    <t>Staff Count</t>
  </si>
  <si>
    <t>Average Salary, Faculty</t>
  </si>
  <si>
    <t>Average Salary, Staff</t>
  </si>
  <si>
    <t>Added Staff</t>
  </si>
  <si>
    <t>Added Faculty</t>
  </si>
  <si>
    <t>Inflation</t>
  </si>
  <si>
    <t>Total Expense</t>
  </si>
  <si>
    <t xml:space="preserve">Total Revenue       </t>
  </si>
  <si>
    <t xml:space="preserve">Total Expenses           </t>
  </si>
  <si>
    <t>Net Asset Change</t>
  </si>
  <si>
    <t>Growth of Incoming Class</t>
  </si>
  <si>
    <t>Above Inflation</t>
  </si>
  <si>
    <t>Added Persons/Year</t>
  </si>
  <si>
    <t>As % of Salaries</t>
  </si>
  <si>
    <t>Growth of % of Salaries</t>
  </si>
  <si>
    <t>Faculty</t>
  </si>
  <si>
    <t>Instructional Staff</t>
  </si>
  <si>
    <t>% Change above Inflation</t>
  </si>
  <si>
    <t>Pine Needle College</t>
  </si>
  <si>
    <t>Fa-Sp %</t>
  </si>
  <si>
    <t>Attrition Rate</t>
  </si>
  <si>
    <t>Graduations, end of semester, Spring only</t>
  </si>
  <si>
    <t>Annual Rate of Change</t>
  </si>
  <si>
    <t>Annual growth rate above inflation of:</t>
  </si>
  <si>
    <t>Fall to fall new student rate change</t>
  </si>
  <si>
    <t>Tuition rate change</t>
  </si>
  <si>
    <t>Salary rate change</t>
  </si>
  <si>
    <t>Full-time faculty change</t>
  </si>
  <si>
    <t>Full-time staff change</t>
  </si>
  <si>
    <t>Nonpersonnel expense rate change</t>
  </si>
  <si>
    <t>Inflation rate</t>
  </si>
  <si>
    <t>Benefit rate</t>
  </si>
  <si>
    <t>Benefit rate change</t>
  </si>
  <si>
    <t xml:space="preserve"> </t>
  </si>
  <si>
    <t>New</t>
  </si>
  <si>
    <t>Checking annual enrollment, next fall</t>
  </si>
  <si>
    <t>Gifts, growth rate (above inflation)</t>
  </si>
  <si>
    <t>Miscellaneous income, growth rate (above inflation)</t>
  </si>
  <si>
    <t>"What if" Variables</t>
  </si>
  <si>
    <t>Check Sums</t>
  </si>
  <si>
    <t>% of Students on Scholarship</t>
  </si>
  <si>
    <t>Growth of Median Scholarship</t>
  </si>
  <si>
    <t>Growth of % of Students on Scholarship</t>
  </si>
  <si>
    <t>Annual, as % of tuition</t>
  </si>
  <si>
    <t>Annual</t>
  </si>
  <si>
    <t>FT Faculty/FT Staff</t>
  </si>
  <si>
    <t>Expenses/Student FTE</t>
  </si>
  <si>
    <t>Net Asset Change/Revenues</t>
  </si>
  <si>
    <t>Fall Student FTE/Faculty FTE</t>
  </si>
  <si>
    <t>Fall Students (heads)/FT Staff</t>
  </si>
  <si>
    <t>Fall Students (heads)/FT Faculty</t>
  </si>
  <si>
    <t>Annual, above Inflation</t>
  </si>
  <si>
    <t>(Growth of Incoming Class)</t>
  </si>
  <si>
    <t>New students, fall</t>
  </si>
  <si>
    <t>New students, spring</t>
  </si>
  <si>
    <t>Continuing students, fall</t>
  </si>
  <si>
    <t>Continuing students, spring</t>
  </si>
  <si>
    <t>Enrollment, semester, fall</t>
  </si>
  <si>
    <t>Enrollment, semester, spring</t>
  </si>
  <si>
    <t>First semester drop outs, not returning next semester, fall</t>
  </si>
  <si>
    <t>First semester drop outs, not returning next semester, spring</t>
  </si>
  <si>
    <t>Continuing student drop outs, not returning next semester, fall</t>
  </si>
  <si>
    <t>Continuing student drop outs, not returning next semester, spring</t>
  </si>
  <si>
    <t>Tuition Rate, fall</t>
  </si>
  <si>
    <t>Tuition Rate, spring</t>
  </si>
  <si>
    <t>Gross Tuition Revenue, fall</t>
  </si>
  <si>
    <t>Gross Tuition Revenue, spring</t>
  </si>
  <si>
    <t>Proportion of Students on Scholarship, fall</t>
  </si>
  <si>
    <t>Proportion of Students on Scholarship, spring</t>
  </si>
  <si>
    <t>Unfunded Scholarship Expense, fall</t>
  </si>
  <si>
    <t>Unfunded Scholarship Expense, spring</t>
  </si>
  <si>
    <t>Net Tuition Revenue, fall</t>
  </si>
  <si>
    <t>Net Tuition Revenue, spring</t>
  </si>
  <si>
    <t>Discount Rate, fall</t>
  </si>
  <si>
    <t>Discount Rate, spring</t>
  </si>
  <si>
    <t>Semester enrollment , fall</t>
  </si>
  <si>
    <t>Median Unfunded Scholarship, % of Tuition, fall</t>
  </si>
  <si>
    <t>Median Unfunded Scholarship, % of Tuition, 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</si>
</sst>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164" fontId="0" fillId="3" borderId="2" xfId="1" applyNumberFormat="1" applyFont="1" applyFill="1" applyBorder="1"/>
    <xf numFmtId="0" fontId="0" fillId="3" borderId="2" xfId="0" applyFill="1" applyBorder="1"/>
    <xf numFmtId="164" fontId="0" fillId="4" borderId="0" xfId="1" applyNumberFormat="1" applyFont="1" applyFill="1"/>
    <xf numFmtId="164" fontId="0" fillId="4" borderId="1" xfId="1" applyNumberFormat="1" applyFont="1" applyFill="1" applyBorder="1"/>
    <xf numFmtId="164" fontId="0" fillId="4" borderId="0" xfId="0" applyNumberFormat="1" applyFill="1"/>
    <xf numFmtId="0" fontId="0" fillId="5" borderId="0" xfId="0" applyFill="1"/>
    <xf numFmtId="0" fontId="2" fillId="5" borderId="0" xfId="0" applyFont="1" applyFill="1"/>
    <xf numFmtId="0" fontId="0" fillId="5" borderId="0" xfId="0" applyFill="1" applyAlignment="1">
      <alignment horizontal="right"/>
    </xf>
    <xf numFmtId="0" fontId="2" fillId="5" borderId="0" xfId="0" applyFont="1" applyFill="1" applyAlignment="1">
      <alignment horizontal="center"/>
    </xf>
    <xf numFmtId="0" fontId="0" fillId="6" borderId="0" xfId="0" applyFill="1"/>
    <xf numFmtId="9" fontId="0" fillId="6" borderId="0" xfId="2" applyFont="1" applyFill="1"/>
    <xf numFmtId="0" fontId="0" fillId="4" borderId="0" xfId="0" applyFill="1"/>
    <xf numFmtId="9" fontId="0" fillId="4" borderId="0" xfId="2" applyFont="1" applyFill="1"/>
    <xf numFmtId="165" fontId="0" fillId="4" borderId="0" xfId="0" applyNumberFormat="1" applyFill="1"/>
    <xf numFmtId="164" fontId="0" fillId="4" borderId="0" xfId="1" quotePrefix="1" applyNumberFormat="1" applyFont="1" applyFill="1" applyAlignment="1">
      <alignment horizontal="center"/>
    </xf>
    <xf numFmtId="165" fontId="0" fillId="3" borderId="2" xfId="3" applyNumberFormat="1" applyFont="1" applyFill="1" applyBorder="1"/>
    <xf numFmtId="164" fontId="0" fillId="6" borderId="0" xfId="0" applyNumberFormat="1" applyFill="1"/>
    <xf numFmtId="0" fontId="0" fillId="4" borderId="1" xfId="0" applyFill="1" applyBorder="1"/>
    <xf numFmtId="9" fontId="0" fillId="4" borderId="0" xfId="0" applyNumberFormat="1" applyFill="1"/>
    <xf numFmtId="164" fontId="0" fillId="4" borderId="0" xfId="0" applyNumberFormat="1" applyFill="1" applyBorder="1"/>
    <xf numFmtId="164" fontId="0" fillId="4" borderId="1" xfId="0" applyNumberFormat="1" applyFill="1" applyBorder="1"/>
    <xf numFmtId="43" fontId="0" fillId="6" borderId="0" xfId="1" applyFont="1" applyFill="1"/>
    <xf numFmtId="164" fontId="0" fillId="6" borderId="0" xfId="1" applyNumberFormat="1" applyFont="1" applyFill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 wrapText="1"/>
    </xf>
    <xf numFmtId="9" fontId="0" fillId="6" borderId="0" xfId="2" applyFont="1" applyFill="1" applyBorder="1"/>
    <xf numFmtId="0" fontId="0" fillId="6" borderId="4" xfId="0" applyFill="1" applyBorder="1"/>
    <xf numFmtId="0" fontId="0" fillId="6" borderId="5" xfId="0" applyFill="1" applyBorder="1"/>
    <xf numFmtId="0" fontId="2" fillId="5" borderId="6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center"/>
    </xf>
    <xf numFmtId="0" fontId="0" fillId="6" borderId="0" xfId="0" applyFill="1" applyBorder="1"/>
    <xf numFmtId="0" fontId="0" fillId="6" borderId="7" xfId="0" applyFill="1" applyBorder="1"/>
    <xf numFmtId="164" fontId="0" fillId="4" borderId="0" xfId="1" applyNumberFormat="1" applyFont="1" applyFill="1" applyBorder="1"/>
    <xf numFmtId="164" fontId="0" fillId="4" borderId="7" xfId="1" applyNumberFormat="1" applyFont="1" applyFill="1" applyBorder="1"/>
    <xf numFmtId="164" fontId="0" fillId="4" borderId="8" xfId="1" applyNumberFormat="1" applyFont="1" applyFill="1" applyBorder="1"/>
    <xf numFmtId="164" fontId="0" fillId="4" borderId="7" xfId="0" applyNumberFormat="1" applyFill="1" applyBorder="1"/>
    <xf numFmtId="0" fontId="3" fillId="5" borderId="6" xfId="0" applyFont="1" applyFill="1" applyBorder="1" applyAlignment="1">
      <alignment horizontal="right"/>
    </xf>
    <xf numFmtId="0" fontId="2" fillId="5" borderId="9" xfId="0" applyFont="1" applyFill="1" applyBorder="1" applyAlignment="1">
      <alignment horizontal="center"/>
    </xf>
    <xf numFmtId="164" fontId="0" fillId="4" borderId="10" xfId="0" applyNumberFormat="1" applyFill="1" applyBorder="1"/>
    <xf numFmtId="164" fontId="0" fillId="4" borderId="11" xfId="0" applyNumberFormat="1" applyFill="1" applyBorder="1"/>
    <xf numFmtId="165" fontId="0" fillId="6" borderId="0" xfId="0" applyNumberFormat="1" applyFill="1"/>
    <xf numFmtId="166" fontId="0" fillId="3" borderId="2" xfId="2" applyNumberFormat="1" applyFont="1" applyFill="1" applyBorder="1"/>
    <xf numFmtId="166" fontId="0" fillId="4" borderId="0" xfId="2" applyNumberFormat="1" applyFont="1" applyFill="1"/>
    <xf numFmtId="166" fontId="0" fillId="4" borderId="0" xfId="0" applyNumberFormat="1" applyFill="1"/>
    <xf numFmtId="0" fontId="2" fillId="6" borderId="0" xfId="0" applyFont="1" applyFill="1" applyAlignment="1">
      <alignment horizontal="center"/>
    </xf>
    <xf numFmtId="166" fontId="0" fillId="2" borderId="0" xfId="2" applyNumberFormat="1" applyFont="1" applyFill="1"/>
    <xf numFmtId="166" fontId="0" fillId="2" borderId="0" xfId="2" applyNumberFormat="1" applyFont="1" applyFill="1" applyBorder="1"/>
    <xf numFmtId="166" fontId="0" fillId="2" borderId="0" xfId="0" applyNumberFormat="1" applyFill="1"/>
    <xf numFmtId="166" fontId="2" fillId="6" borderId="0" xfId="0" applyNumberFormat="1" applyFont="1" applyFill="1" applyAlignment="1">
      <alignment horizontal="center"/>
    </xf>
    <xf numFmtId="166" fontId="2" fillId="5" borderId="0" xfId="0" applyNumberFormat="1" applyFont="1" applyFill="1" applyAlignment="1">
      <alignment horizontal="center"/>
    </xf>
    <xf numFmtId="164" fontId="0" fillId="4" borderId="1" xfId="1" quotePrefix="1" applyNumberFormat="1" applyFont="1" applyFill="1" applyBorder="1" applyAlignment="1">
      <alignment horizontal="center"/>
    </xf>
    <xf numFmtId="166" fontId="0" fillId="6" borderId="0" xfId="2" applyNumberFormat="1" applyFont="1" applyFill="1"/>
    <xf numFmtId="0" fontId="2" fillId="5" borderId="0" xfId="0" applyFont="1" applyFill="1" applyAlignment="1">
      <alignment horizontal="right"/>
    </xf>
    <xf numFmtId="0" fontId="2" fillId="6" borderId="0" xfId="0" applyNumberFormat="1" applyFont="1" applyFill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left" vertical="top"/>
    </xf>
    <xf numFmtId="0" fontId="4" fillId="3" borderId="2" xfId="0" applyFont="1" applyFill="1" applyBorder="1" applyAlignment="1">
      <alignment horizontal="right"/>
    </xf>
    <xf numFmtId="0" fontId="0" fillId="4" borderId="0" xfId="0" applyFill="1" applyBorder="1"/>
    <xf numFmtId="0" fontId="0" fillId="6" borderId="0" xfId="0" applyFill="1" applyAlignment="1">
      <alignment horizontal="right"/>
    </xf>
    <xf numFmtId="0" fontId="0" fillId="6" borderId="6" xfId="0" applyFill="1" applyBorder="1"/>
    <xf numFmtId="0" fontId="2" fillId="4" borderId="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" fillId="6" borderId="0" xfId="0" applyFont="1" applyFill="1"/>
    <xf numFmtId="0" fontId="2" fillId="4" borderId="1" xfId="0" applyNumberFormat="1" applyFont="1" applyFill="1" applyBorder="1" applyAlignment="1">
      <alignment horizontal="center"/>
    </xf>
    <xf numFmtId="0" fontId="0" fillId="5" borderId="0" xfId="0" applyFont="1" applyFill="1" applyAlignment="1">
      <alignment horizontal="right"/>
    </xf>
    <xf numFmtId="0" fontId="0" fillId="6" borderId="0" xfId="0" applyFont="1" applyFill="1" applyAlignment="1">
      <alignment horizontal="right"/>
    </xf>
    <xf numFmtId="164" fontId="0" fillId="3" borderId="12" xfId="1" applyNumberFormat="1" applyFont="1" applyFill="1" applyBorder="1"/>
    <xf numFmtId="0" fontId="4" fillId="4" borderId="0" xfId="0" applyFont="1" applyFill="1" applyAlignment="1">
      <alignment horizontal="right"/>
    </xf>
    <xf numFmtId="0" fontId="6" fillId="5" borderId="0" xfId="0" applyFont="1" applyFill="1" applyAlignment="1">
      <alignment horizontal="right"/>
    </xf>
    <xf numFmtId="0" fontId="5" fillId="5" borderId="0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0" fillId="4" borderId="0" xfId="0" applyFill="1" applyAlignment="1">
      <alignment horizontal="right"/>
    </xf>
    <xf numFmtId="167" fontId="0" fillId="4" borderId="0" xfId="1" applyNumberFormat="1" applyFont="1" applyFill="1"/>
    <xf numFmtId="165" fontId="0" fillId="4" borderId="0" xfId="3" applyNumberFormat="1" applyFont="1" applyFill="1"/>
    <xf numFmtId="0" fontId="0" fillId="4" borderId="1" xfId="0" applyFill="1" applyBorder="1" applyAlignment="1">
      <alignment horizontal="center"/>
    </xf>
    <xf numFmtId="166" fontId="2" fillId="5" borderId="0" xfId="0" applyNumberFormat="1" applyFont="1" applyFill="1" applyAlignment="1">
      <alignment horizontal="right"/>
    </xf>
    <xf numFmtId="166" fontId="0" fillId="2" borderId="0" xfId="2" applyNumberFormat="1" applyFont="1" applyFill="1" applyAlignment="1">
      <alignment horizontal="right"/>
    </xf>
    <xf numFmtId="166" fontId="0" fillId="2" borderId="2" xfId="2" applyNumberFormat="1" applyFont="1" applyFill="1" applyBorder="1"/>
    <xf numFmtId="0" fontId="0" fillId="7" borderId="0" xfId="0" applyFill="1"/>
    <xf numFmtId="0" fontId="2" fillId="7" borderId="0" xfId="0" applyFont="1" applyFill="1" applyAlignment="1">
      <alignment horizontal="center"/>
    </xf>
    <xf numFmtId="0" fontId="0" fillId="7" borderId="0" xfId="0" applyFont="1" applyFill="1" applyAlignment="1">
      <alignment horizontal="righ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4FE6-19B9-4822-88BE-F2157F18F6E9}">
  <dimension ref="A1:M43"/>
  <sheetViews>
    <sheetView tabSelected="1" workbookViewId="0"/>
  </sheetViews>
  <sheetFormatPr defaultRowHeight="15" x14ac:dyDescent="0.25"/>
  <cols>
    <col min="1" max="1" width="39.7109375" customWidth="1"/>
    <col min="2" max="4" width="12" customWidth="1"/>
    <col min="5" max="5" width="24.7109375" customWidth="1"/>
    <col min="6" max="7" width="12" customWidth="1"/>
    <col min="8" max="8" width="11.85546875" customWidth="1"/>
    <col min="9" max="9" width="12" customWidth="1"/>
    <col min="10" max="10" width="12.7109375" customWidth="1"/>
    <col min="11" max="11" width="12" customWidth="1"/>
    <col min="13" max="13" width="12" customWidth="1"/>
    <col min="15" max="15" width="11.5703125" customWidth="1"/>
  </cols>
  <sheetData>
    <row r="1" spans="1:13" ht="16.5" thickBot="1" x14ac:dyDescent="0.3">
      <c r="A1" s="58" t="s">
        <v>49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5">
      <c r="A2" s="64" t="s">
        <v>0</v>
      </c>
      <c r="B2" s="11"/>
      <c r="C2" s="11"/>
      <c r="D2" s="11"/>
      <c r="E2" s="73" t="s">
        <v>2</v>
      </c>
      <c r="F2" s="28"/>
      <c r="G2" s="28"/>
      <c r="H2" s="28"/>
      <c r="I2" s="28"/>
      <c r="J2" s="28"/>
      <c r="K2" s="29"/>
      <c r="L2" s="11"/>
      <c r="M2" s="11"/>
    </row>
    <row r="3" spans="1:13" x14ac:dyDescent="0.25">
      <c r="A3" s="9" t="s">
        <v>55</v>
      </c>
      <c r="B3" s="43">
        <v>0.02</v>
      </c>
      <c r="C3" s="7" t="s">
        <v>41</v>
      </c>
      <c r="D3" s="7"/>
      <c r="E3" s="30" t="s">
        <v>8</v>
      </c>
      <c r="F3" s="62">
        <f>B18+1</f>
        <v>2022</v>
      </c>
      <c r="G3" s="62">
        <f>F3+1</f>
        <v>2023</v>
      </c>
      <c r="H3" s="62">
        <f>G3+1</f>
        <v>2024</v>
      </c>
      <c r="I3" s="62">
        <f>H3+1</f>
        <v>2025</v>
      </c>
      <c r="J3" s="62">
        <f t="shared" ref="J3" si="0">I3+1</f>
        <v>2026</v>
      </c>
      <c r="K3" s="63">
        <f>J3+1</f>
        <v>2027</v>
      </c>
      <c r="L3" s="11"/>
      <c r="M3" s="11"/>
    </row>
    <row r="4" spans="1:13" x14ac:dyDescent="0.25">
      <c r="A4" s="9" t="s">
        <v>56</v>
      </c>
      <c r="B4" s="43">
        <v>0.03</v>
      </c>
      <c r="C4" s="7" t="s">
        <v>82</v>
      </c>
      <c r="D4" s="7"/>
      <c r="E4" s="31" t="s">
        <v>5</v>
      </c>
      <c r="F4" s="32"/>
      <c r="G4" s="32"/>
      <c r="H4" s="32"/>
      <c r="I4" s="32"/>
      <c r="J4" s="32"/>
      <c r="K4" s="33"/>
      <c r="L4" s="11"/>
      <c r="M4" s="11"/>
    </row>
    <row r="5" spans="1:13" x14ac:dyDescent="0.25">
      <c r="A5" s="76" t="s">
        <v>72</v>
      </c>
      <c r="B5" s="43">
        <v>0.02</v>
      </c>
      <c r="C5" s="7" t="s">
        <v>74</v>
      </c>
      <c r="D5" s="7"/>
      <c r="E5" s="30" t="s">
        <v>17</v>
      </c>
      <c r="F5" s="34">
        <f>Enrollment!C18+Enrollment!C19</f>
        <v>24000000</v>
      </c>
      <c r="G5" s="34">
        <f>Enrollment!D18+Enrollment!D19</f>
        <v>24414075</v>
      </c>
      <c r="H5" s="34">
        <f>Enrollment!E18+Enrollment!E19</f>
        <v>25246784.193750001</v>
      </c>
      <c r="I5" s="34">
        <f>Enrollment!F18+Enrollment!F19</f>
        <v>26410398.987360939</v>
      </c>
      <c r="J5" s="34">
        <f>Enrollment!G18+Enrollment!G19</f>
        <v>27846403.083609097</v>
      </c>
      <c r="K5" s="34">
        <f>Enrollment!H18+Enrollment!H19</f>
        <v>29516872.225152969</v>
      </c>
      <c r="L5" s="11"/>
      <c r="M5" s="11"/>
    </row>
    <row r="6" spans="1:13" x14ac:dyDescent="0.25">
      <c r="A6" s="76" t="s">
        <v>71</v>
      </c>
      <c r="B6" s="43">
        <v>0.4</v>
      </c>
      <c r="C6" s="11"/>
      <c r="D6" s="11"/>
      <c r="E6" s="30" t="s">
        <v>18</v>
      </c>
      <c r="F6" s="5">
        <f>Enrollment!C27+Enrollment!C28</f>
        <v>5760000</v>
      </c>
      <c r="G6" s="5">
        <f>Enrollment!D27+Enrollment!D28</f>
        <v>6215628.1824000012</v>
      </c>
      <c r="H6" s="5">
        <f>Enrollment!E27+Enrollment!E28</f>
        <v>6818429.1417676788</v>
      </c>
      <c r="I6" s="5">
        <f>Enrollment!F27+Enrollment!F28</f>
        <v>7566355.4070293047</v>
      </c>
      <c r="J6" s="5">
        <f>Enrollment!G28+Enrollment!G27</f>
        <v>8462806.117516607</v>
      </c>
      <c r="K6" s="36">
        <f>Enrollment!H28+Enrollment!H27</f>
        <v>9515883.8470108528</v>
      </c>
      <c r="L6" s="11"/>
      <c r="M6" s="11"/>
    </row>
    <row r="7" spans="1:13" x14ac:dyDescent="0.25">
      <c r="A7" s="76" t="s">
        <v>73</v>
      </c>
      <c r="B7" s="43">
        <v>0.04</v>
      </c>
      <c r="C7" s="7" t="s">
        <v>75</v>
      </c>
      <c r="D7" s="7"/>
      <c r="E7" s="30" t="s">
        <v>19</v>
      </c>
      <c r="F7" s="21">
        <f t="shared" ref="F7:K7" si="1">F5-F6</f>
        <v>18240000</v>
      </c>
      <c r="G7" s="21">
        <f t="shared" si="1"/>
        <v>18198446.817599997</v>
      </c>
      <c r="H7" s="21">
        <f t="shared" si="1"/>
        <v>18428355.051982321</v>
      </c>
      <c r="I7" s="21">
        <f t="shared" si="1"/>
        <v>18844043.580331635</v>
      </c>
      <c r="J7" s="21">
        <f t="shared" si="1"/>
        <v>19383596.96609249</v>
      </c>
      <c r="K7" s="37">
        <f t="shared" si="1"/>
        <v>20000988.378142118</v>
      </c>
      <c r="L7" s="11"/>
      <c r="M7" s="11"/>
    </row>
    <row r="8" spans="1:13" x14ac:dyDescent="0.25">
      <c r="A8" s="9" t="s">
        <v>57</v>
      </c>
      <c r="B8" s="43">
        <v>0.01</v>
      </c>
      <c r="C8" s="7" t="s">
        <v>42</v>
      </c>
      <c r="D8" s="7"/>
      <c r="E8" s="30" t="s">
        <v>3</v>
      </c>
      <c r="F8" s="34">
        <f>Enrollment!C37</f>
        <v>1000000</v>
      </c>
      <c r="G8" s="34">
        <f>Enrollment!D37</f>
        <v>1020000</v>
      </c>
      <c r="H8" s="34">
        <f>Enrollment!E37</f>
        <v>1040400</v>
      </c>
      <c r="I8" s="34">
        <f>Enrollment!F37</f>
        <v>1061208</v>
      </c>
      <c r="J8" s="34">
        <f>Enrollment!G37</f>
        <v>1082432.1599999999</v>
      </c>
      <c r="K8" s="35">
        <f>Enrollment!H37</f>
        <v>1104080.8032</v>
      </c>
      <c r="L8" s="11"/>
      <c r="M8" s="11"/>
    </row>
    <row r="9" spans="1:13" x14ac:dyDescent="0.25">
      <c r="A9" s="9" t="s">
        <v>58</v>
      </c>
      <c r="B9" s="2">
        <v>0</v>
      </c>
      <c r="C9" s="7" t="s">
        <v>43</v>
      </c>
      <c r="D9" s="7"/>
      <c r="E9" s="30" t="s">
        <v>4</v>
      </c>
      <c r="F9" s="5">
        <f>Enrollment!C38</f>
        <v>500000</v>
      </c>
      <c r="G9" s="5">
        <f>Enrollment!D38</f>
        <v>510000</v>
      </c>
      <c r="H9" s="5">
        <f>Enrollment!E38</f>
        <v>520200</v>
      </c>
      <c r="I9" s="5">
        <f>Enrollment!F38</f>
        <v>530604</v>
      </c>
      <c r="J9" s="5">
        <f>Enrollment!G38</f>
        <v>541216.07999999996</v>
      </c>
      <c r="K9" s="36">
        <f>Enrollment!H38</f>
        <v>552040.40159999998</v>
      </c>
      <c r="L9" s="11"/>
      <c r="M9" s="11"/>
    </row>
    <row r="10" spans="1:13" x14ac:dyDescent="0.25">
      <c r="A10" s="9" t="s">
        <v>59</v>
      </c>
      <c r="B10" s="2">
        <v>0</v>
      </c>
      <c r="C10" s="7" t="s">
        <v>43</v>
      </c>
      <c r="D10" s="7"/>
      <c r="E10" s="38" t="s">
        <v>38</v>
      </c>
      <c r="F10" s="21">
        <f t="shared" ref="F10:K10" si="2">SUM(F7:F9)</f>
        <v>19740000</v>
      </c>
      <c r="G10" s="21">
        <f t="shared" si="2"/>
        <v>19728446.817599997</v>
      </c>
      <c r="H10" s="21">
        <f t="shared" si="2"/>
        <v>19988955.051982321</v>
      </c>
      <c r="I10" s="21">
        <f t="shared" si="2"/>
        <v>20435855.580331635</v>
      </c>
      <c r="J10" s="21">
        <f t="shared" si="2"/>
        <v>21007245.206092488</v>
      </c>
      <c r="K10" s="37">
        <f t="shared" si="2"/>
        <v>21657109.582942117</v>
      </c>
      <c r="L10" s="11"/>
      <c r="M10" s="11"/>
    </row>
    <row r="11" spans="1:13" x14ac:dyDescent="0.25">
      <c r="A11" s="9" t="s">
        <v>60</v>
      </c>
      <c r="B11" s="43">
        <v>0</v>
      </c>
      <c r="C11" s="7" t="s">
        <v>42</v>
      </c>
      <c r="D11" s="7"/>
      <c r="E11" s="61"/>
      <c r="F11" s="32"/>
      <c r="G11" s="32"/>
      <c r="H11" s="32"/>
      <c r="I11" s="32"/>
      <c r="J11" s="32"/>
      <c r="K11" s="33"/>
      <c r="L11" s="11"/>
      <c r="M11" s="11"/>
    </row>
    <row r="12" spans="1:13" x14ac:dyDescent="0.25">
      <c r="A12" s="11"/>
      <c r="B12" s="12"/>
      <c r="C12" s="11"/>
      <c r="D12" s="11"/>
      <c r="E12" s="74" t="s">
        <v>7</v>
      </c>
      <c r="F12" s="62">
        <f>B18+1</f>
        <v>2022</v>
      </c>
      <c r="G12" s="62">
        <f>F12+1</f>
        <v>2023</v>
      </c>
      <c r="H12" s="62">
        <f t="shared" ref="H12:K12" si="3">G12+1</f>
        <v>2024</v>
      </c>
      <c r="I12" s="62">
        <f t="shared" si="3"/>
        <v>2025</v>
      </c>
      <c r="J12" s="62">
        <f t="shared" si="3"/>
        <v>2026</v>
      </c>
      <c r="K12" s="63">
        <f t="shared" si="3"/>
        <v>2027</v>
      </c>
      <c r="L12" s="11"/>
      <c r="M12" s="11"/>
    </row>
    <row r="13" spans="1:13" x14ac:dyDescent="0.25">
      <c r="A13" s="72" t="s">
        <v>69</v>
      </c>
      <c r="B13" s="11"/>
      <c r="C13" s="11"/>
      <c r="D13" s="11"/>
      <c r="E13" s="30" t="s">
        <v>9</v>
      </c>
      <c r="F13" s="34">
        <f>Staffing!B61</f>
        <v>13820000</v>
      </c>
      <c r="G13" s="34">
        <f>Staffing!C61</f>
        <v>14233600</v>
      </c>
      <c r="H13" s="34">
        <f>Staffing!D61</f>
        <v>14659588</v>
      </c>
      <c r="I13" s="34">
        <f>Staffing!E61</f>
        <v>15098335.24</v>
      </c>
      <c r="J13" s="34">
        <f>Staffing!F61</f>
        <v>15550224.089200003</v>
      </c>
      <c r="K13" s="35">
        <f>Staffing!G61</f>
        <v>16015648.379716001</v>
      </c>
      <c r="L13" s="11"/>
      <c r="M13" s="11"/>
    </row>
    <row r="14" spans="1:13" x14ac:dyDescent="0.25">
      <c r="A14" s="9" t="s">
        <v>61</v>
      </c>
      <c r="B14" s="43">
        <v>0.02</v>
      </c>
      <c r="C14" s="11"/>
      <c r="D14" s="11"/>
      <c r="E14" s="30" t="s">
        <v>10</v>
      </c>
      <c r="F14" s="34">
        <f>Staffing!B62</f>
        <v>1220000</v>
      </c>
      <c r="G14" s="34">
        <f>Staffing!C62</f>
        <v>1255600</v>
      </c>
      <c r="H14" s="34">
        <f>Staffing!D62</f>
        <v>1292248</v>
      </c>
      <c r="I14" s="34">
        <f>Staffing!E62</f>
        <v>1329975.0400000003</v>
      </c>
      <c r="J14" s="34">
        <f>Staffing!F62</f>
        <v>1368813.0832000002</v>
      </c>
      <c r="K14" s="35">
        <f>Staffing!G62</f>
        <v>1408795.043536</v>
      </c>
      <c r="L14" s="11"/>
      <c r="M14" s="11"/>
    </row>
    <row r="15" spans="1:13" x14ac:dyDescent="0.25">
      <c r="A15" s="9" t="s">
        <v>62</v>
      </c>
      <c r="B15" s="43">
        <v>0.4</v>
      </c>
      <c r="C15" s="7" t="s">
        <v>44</v>
      </c>
      <c r="D15" s="7"/>
      <c r="E15" s="30" t="s">
        <v>11</v>
      </c>
      <c r="F15" s="34">
        <f>Staffing!B63</f>
        <v>1220000</v>
      </c>
      <c r="G15" s="34">
        <f>Staffing!C63</f>
        <v>1255600</v>
      </c>
      <c r="H15" s="34">
        <f>Staffing!D63</f>
        <v>1292248</v>
      </c>
      <c r="I15" s="34">
        <f>Staffing!E63</f>
        <v>1329975.0400000003</v>
      </c>
      <c r="J15" s="34">
        <f>Staffing!F63</f>
        <v>1368813.0832000002</v>
      </c>
      <c r="K15" s="35">
        <f>Staffing!G63</f>
        <v>1408795.043536</v>
      </c>
      <c r="L15" s="11"/>
      <c r="M15" s="11"/>
    </row>
    <row r="16" spans="1:13" x14ac:dyDescent="0.25">
      <c r="A16" s="9" t="s">
        <v>63</v>
      </c>
      <c r="B16" s="43">
        <v>0</v>
      </c>
      <c r="C16" s="7" t="s">
        <v>45</v>
      </c>
      <c r="D16" s="7"/>
      <c r="E16" s="30" t="s">
        <v>12</v>
      </c>
      <c r="F16" s="34">
        <f>Staffing!B64</f>
        <v>1220000</v>
      </c>
      <c r="G16" s="34">
        <f>Staffing!C64</f>
        <v>1255600</v>
      </c>
      <c r="H16" s="34">
        <f>Staffing!D64</f>
        <v>1292248</v>
      </c>
      <c r="I16" s="34">
        <f>Staffing!E64</f>
        <v>1329975.0400000003</v>
      </c>
      <c r="J16" s="34">
        <f>Staffing!F64</f>
        <v>1368813.0832000002</v>
      </c>
      <c r="K16" s="35">
        <f>Staffing!G64</f>
        <v>1408795.043536</v>
      </c>
      <c r="L16" s="11"/>
      <c r="M16" s="11"/>
    </row>
    <row r="17" spans="1:13" x14ac:dyDescent="0.25">
      <c r="A17" s="60"/>
      <c r="B17" s="27"/>
      <c r="C17" s="11"/>
      <c r="D17" s="11"/>
      <c r="E17" s="30" t="s">
        <v>13</v>
      </c>
      <c r="F17" s="5">
        <f>Staffing!B65</f>
        <v>1620000</v>
      </c>
      <c r="G17" s="5">
        <f>Staffing!C65</f>
        <v>1663600</v>
      </c>
      <c r="H17" s="5">
        <f>Staffing!D65</f>
        <v>1708408</v>
      </c>
      <c r="I17" s="5">
        <f>Staffing!E65</f>
        <v>1754458.2400000002</v>
      </c>
      <c r="J17" s="5">
        <f>Staffing!F65</f>
        <v>1801785.9472000003</v>
      </c>
      <c r="K17" s="36">
        <f>Staffing!G65</f>
        <v>1850427.364816</v>
      </c>
      <c r="L17" s="11"/>
      <c r="M17" s="11"/>
    </row>
    <row r="18" spans="1:13" x14ac:dyDescent="0.25">
      <c r="A18" s="9" t="s">
        <v>6</v>
      </c>
      <c r="B18" s="3">
        <v>2021</v>
      </c>
      <c r="C18" s="11"/>
      <c r="D18" s="11"/>
      <c r="E18" s="38" t="s">
        <v>39</v>
      </c>
      <c r="F18" s="34">
        <f>Staffing!B66</f>
        <v>19100000</v>
      </c>
      <c r="G18" s="34">
        <f>Staffing!C66</f>
        <v>19664000</v>
      </c>
      <c r="H18" s="34">
        <f>Staffing!D66</f>
        <v>20244740</v>
      </c>
      <c r="I18" s="34">
        <f>Staffing!E66</f>
        <v>20842718.600000001</v>
      </c>
      <c r="J18" s="34">
        <f>Staffing!F66</f>
        <v>21458449.286000006</v>
      </c>
      <c r="K18" s="35">
        <f>Staffing!G66</f>
        <v>22092460.87514</v>
      </c>
      <c r="L18" s="11"/>
      <c r="M18" s="11"/>
    </row>
    <row r="19" spans="1:13" x14ac:dyDescent="0.25">
      <c r="A19" s="11"/>
      <c r="B19" s="12"/>
      <c r="C19" s="11"/>
      <c r="D19" s="11"/>
      <c r="E19" s="61"/>
      <c r="F19" s="32"/>
      <c r="G19" s="32"/>
      <c r="H19" s="32"/>
      <c r="I19" s="32"/>
      <c r="J19" s="32"/>
      <c r="K19" s="33"/>
      <c r="L19" s="11"/>
      <c r="M19" s="11"/>
    </row>
    <row r="20" spans="1:13" ht="15.75" thickBot="1" x14ac:dyDescent="0.3">
      <c r="A20" s="11"/>
      <c r="B20" s="12"/>
      <c r="C20" s="11"/>
      <c r="D20" s="11"/>
      <c r="E20" s="39" t="s">
        <v>40</v>
      </c>
      <c r="F20" s="40">
        <f>F10-F18</f>
        <v>640000</v>
      </c>
      <c r="G20" s="40">
        <f t="shared" ref="G20:K20" si="4">G10-G18</f>
        <v>64446.817599996924</v>
      </c>
      <c r="H20" s="40">
        <f t="shared" si="4"/>
        <v>-255784.94801767915</v>
      </c>
      <c r="I20" s="40">
        <f t="shared" si="4"/>
        <v>-406863.01966836676</v>
      </c>
      <c r="J20" s="40">
        <f t="shared" si="4"/>
        <v>-451204.07990751788</v>
      </c>
      <c r="K20" s="41">
        <f t="shared" si="4"/>
        <v>-435351.29219788313</v>
      </c>
      <c r="L20" s="11"/>
      <c r="M20" s="11"/>
    </row>
    <row r="21" spans="1:13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25">
      <c r="A23" s="11"/>
      <c r="B23" s="11" t="s">
        <v>64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25">
      <c r="A40" s="11"/>
      <c r="B40" s="11"/>
      <c r="C40" s="11"/>
    </row>
    <row r="41" spans="1:13" x14ac:dyDescent="0.25">
      <c r="A41" s="11"/>
      <c r="B41" s="11"/>
      <c r="C41" s="11"/>
    </row>
    <row r="42" spans="1:13" x14ac:dyDescent="0.25">
      <c r="A42" s="11"/>
      <c r="B42" s="11"/>
      <c r="C42" s="11"/>
    </row>
    <row r="43" spans="1:13" x14ac:dyDescent="0.25">
      <c r="A43" s="11"/>
      <c r="B43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26EAE-6469-47B7-AC92-C4C09F936CD4}">
  <dimension ref="A1:S54"/>
  <sheetViews>
    <sheetView zoomScale="80" zoomScaleNormal="80" workbookViewId="0"/>
  </sheetViews>
  <sheetFormatPr defaultRowHeight="15" x14ac:dyDescent="0.25"/>
  <cols>
    <col min="1" max="1" width="65.28515625" customWidth="1"/>
    <col min="2" max="2" width="12.85546875" customWidth="1"/>
    <col min="3" max="8" width="13" customWidth="1"/>
    <col min="9" max="13" width="11.85546875" customWidth="1"/>
  </cols>
  <sheetData>
    <row r="1" spans="1:13" ht="15.75" x14ac:dyDescent="0.25">
      <c r="A1" s="70" t="str">
        <f>Summary!A1</f>
        <v>Pine Needle College</v>
      </c>
      <c r="B1" s="11"/>
      <c r="C1" s="7"/>
      <c r="D1" s="7"/>
      <c r="E1" s="9" t="s">
        <v>14</v>
      </c>
      <c r="F1" s="47">
        <f>Summary!B3</f>
        <v>0.02</v>
      </c>
      <c r="G1" s="7" t="s">
        <v>83</v>
      </c>
      <c r="H1" s="84"/>
      <c r="I1" s="11"/>
      <c r="J1" s="11"/>
      <c r="K1" s="11"/>
      <c r="L1" s="11"/>
      <c r="M1" s="11"/>
    </row>
    <row r="2" spans="1:13" x14ac:dyDescent="0.25">
      <c r="A2" s="11"/>
      <c r="B2" s="54" t="s">
        <v>8</v>
      </c>
      <c r="C2" s="62">
        <f>Summary!B18+1</f>
        <v>2022</v>
      </c>
      <c r="D2" s="66">
        <f>C2+1</f>
        <v>2023</v>
      </c>
      <c r="E2" s="66">
        <f t="shared" ref="E2:H2" si="0">D2+1</f>
        <v>2024</v>
      </c>
      <c r="F2" s="66">
        <f t="shared" si="0"/>
        <v>2025</v>
      </c>
      <c r="G2" s="66">
        <f t="shared" si="0"/>
        <v>2026</v>
      </c>
      <c r="H2" s="66">
        <f t="shared" si="0"/>
        <v>2027</v>
      </c>
      <c r="I2" s="11"/>
      <c r="J2" s="11"/>
      <c r="K2" s="11"/>
      <c r="L2" s="11"/>
      <c r="M2" s="11"/>
    </row>
    <row r="3" spans="1:13" x14ac:dyDescent="0.25">
      <c r="A3" s="9" t="s">
        <v>84</v>
      </c>
      <c r="B3" s="10" t="s">
        <v>50</v>
      </c>
      <c r="C3" s="69">
        <v>300</v>
      </c>
      <c r="D3" s="4">
        <f>C3*(1+$F$1)</f>
        <v>306</v>
      </c>
      <c r="E3" s="4">
        <f>D3*(1+$F$1)</f>
        <v>312.12</v>
      </c>
      <c r="F3" s="4">
        <f>E3*(1+$F$1)</f>
        <v>318.36240000000004</v>
      </c>
      <c r="G3" s="4">
        <f>F3*(1+$F$1)</f>
        <v>324.72964800000005</v>
      </c>
      <c r="H3" s="4">
        <f>G3*(1+$F$1)</f>
        <v>331.22424096000009</v>
      </c>
      <c r="I3" s="11"/>
      <c r="J3" s="11"/>
      <c r="K3" s="11"/>
      <c r="L3" s="11"/>
      <c r="M3" s="11"/>
    </row>
    <row r="4" spans="1:13" x14ac:dyDescent="0.25">
      <c r="A4" s="9" t="s">
        <v>85</v>
      </c>
      <c r="B4" s="43">
        <v>0.25</v>
      </c>
      <c r="C4" s="4">
        <f>C3*$B$4</f>
        <v>75</v>
      </c>
      <c r="D4" s="4">
        <f>D3*$B$4</f>
        <v>76.5</v>
      </c>
      <c r="E4" s="4">
        <f>E3*$B$4</f>
        <v>78.03</v>
      </c>
      <c r="F4" s="4">
        <f>F3*$B$4</f>
        <v>79.590600000000009</v>
      </c>
      <c r="G4" s="4">
        <f>G3*$B$4</f>
        <v>81.182412000000014</v>
      </c>
      <c r="H4" s="4">
        <f>H3*$B$4</f>
        <v>82.806060240000022</v>
      </c>
      <c r="I4" s="11"/>
      <c r="J4" s="11"/>
      <c r="K4" s="11"/>
      <c r="L4" s="11"/>
      <c r="M4" s="11"/>
    </row>
    <row r="5" spans="1:13" x14ac:dyDescent="0.25">
      <c r="A5" s="9" t="s">
        <v>86</v>
      </c>
      <c r="B5" s="50"/>
      <c r="C5" s="2">
        <v>900</v>
      </c>
      <c r="D5" s="34">
        <f>C4*(1-$B$9)+C6*(1-$B$11-$B$13)</f>
        <v>855</v>
      </c>
      <c r="E5" s="34">
        <f>D4*(1-$B$9)+D6*(1-$B$11-$B$13)</f>
        <v>830.20500000000004</v>
      </c>
      <c r="F5" s="34">
        <f>E4*(1-$B$9)+E6*(1-$B$11-$B$13)</f>
        <v>818.94892499999992</v>
      </c>
      <c r="G5" s="34">
        <f>F4*(1-$B$9)+F6*(1-$B$11-$B$13)</f>
        <v>816.80088712499992</v>
      </c>
      <c r="H5" s="34">
        <f>G4*(1-$B$9)+G6*(1-$B$11-$B$13)</f>
        <v>820.81643897812489</v>
      </c>
      <c r="I5" s="11"/>
      <c r="J5" s="11"/>
      <c r="K5" s="11"/>
      <c r="L5" s="11"/>
      <c r="M5" s="11"/>
    </row>
    <row r="6" spans="1:13" x14ac:dyDescent="0.25">
      <c r="A6" s="9" t="s">
        <v>87</v>
      </c>
      <c r="B6" s="50"/>
      <c r="C6" s="5">
        <f>C3*(1-$B$9)+C5*(1-$B$11)</f>
        <v>1125</v>
      </c>
      <c r="D6" s="5">
        <f>D3*(1-$B$9)+D5*(1-$B$11)</f>
        <v>1087.6500000000001</v>
      </c>
      <c r="E6" s="5">
        <f>E3*(1-$B$9)+E5*(1-$B$11)</f>
        <v>1069.60275</v>
      </c>
      <c r="F6" s="5">
        <f>F3*(1-$B$9)+F5*(1-$B$11)</f>
        <v>1064.5276387500001</v>
      </c>
      <c r="G6" s="5">
        <f>G3*(1-$B$9)+G5*(1-$B$11)</f>
        <v>1068.2175259687499</v>
      </c>
      <c r="H6" s="5">
        <f>H3*(1-$B$9)+H5*(1-$B$11)</f>
        <v>1077.8774338932187</v>
      </c>
      <c r="I6" s="11"/>
      <c r="J6" s="11"/>
      <c r="K6" s="11"/>
      <c r="L6" s="11"/>
      <c r="M6" s="11"/>
    </row>
    <row r="7" spans="1:13" x14ac:dyDescent="0.25">
      <c r="A7" s="9" t="s">
        <v>88</v>
      </c>
      <c r="B7" s="50"/>
      <c r="C7" s="6">
        <f>C3+C5</f>
        <v>1200</v>
      </c>
      <c r="D7" s="6">
        <f t="shared" ref="D7:H7" si="1">D3+D5</f>
        <v>1161</v>
      </c>
      <c r="E7" s="6">
        <f t="shared" si="1"/>
        <v>1142.325</v>
      </c>
      <c r="F7" s="6">
        <f t="shared" si="1"/>
        <v>1137.3113249999999</v>
      </c>
      <c r="G7" s="6">
        <f t="shared" si="1"/>
        <v>1141.5305351249999</v>
      </c>
      <c r="H7" s="6">
        <f t="shared" si="1"/>
        <v>1152.0406799381249</v>
      </c>
      <c r="I7" s="11"/>
      <c r="J7" s="11"/>
      <c r="K7" s="11"/>
      <c r="L7" s="11"/>
      <c r="M7" s="11"/>
    </row>
    <row r="8" spans="1:13" x14ac:dyDescent="0.25">
      <c r="A8" s="9" t="s">
        <v>89</v>
      </c>
      <c r="B8" s="51" t="s">
        <v>51</v>
      </c>
      <c r="C8" s="22">
        <f>C4+C6</f>
        <v>1200</v>
      </c>
      <c r="D8" s="22">
        <f t="shared" ref="D8:H8" si="2">D4+D6</f>
        <v>1164.1500000000001</v>
      </c>
      <c r="E8" s="22">
        <f t="shared" si="2"/>
        <v>1147.63275</v>
      </c>
      <c r="F8" s="22">
        <f t="shared" si="2"/>
        <v>1144.11823875</v>
      </c>
      <c r="G8" s="22">
        <f t="shared" si="2"/>
        <v>1149.39993796875</v>
      </c>
      <c r="H8" s="22">
        <f t="shared" si="2"/>
        <v>1160.6834941332188</v>
      </c>
      <c r="I8" s="11"/>
      <c r="J8" s="11"/>
      <c r="K8" s="11"/>
      <c r="L8" s="11"/>
      <c r="M8" s="11"/>
    </row>
    <row r="9" spans="1:13" x14ac:dyDescent="0.25">
      <c r="A9" s="9" t="s">
        <v>90</v>
      </c>
      <c r="B9" s="43">
        <v>0.1</v>
      </c>
      <c r="C9" s="6">
        <f>C3*$B9</f>
        <v>30</v>
      </c>
      <c r="D9" s="6">
        <f>D3*$B$9</f>
        <v>30.6</v>
      </c>
      <c r="E9" s="6">
        <f t="shared" ref="E9:H9" si="3">E3*$B$9</f>
        <v>31.212000000000003</v>
      </c>
      <c r="F9" s="6">
        <f t="shared" si="3"/>
        <v>31.836240000000004</v>
      </c>
      <c r="G9" s="6">
        <f t="shared" si="3"/>
        <v>32.472964800000007</v>
      </c>
      <c r="H9" s="6">
        <f t="shared" si="3"/>
        <v>33.12242409600001</v>
      </c>
      <c r="I9" s="11"/>
      <c r="J9" s="11"/>
      <c r="K9" s="11"/>
      <c r="L9" s="11"/>
      <c r="M9" s="11"/>
    </row>
    <row r="10" spans="1:13" x14ac:dyDescent="0.25">
      <c r="A10" s="9" t="s">
        <v>91</v>
      </c>
      <c r="B10" s="83">
        <f>B9</f>
        <v>0.1</v>
      </c>
      <c r="C10" s="6">
        <f>C4*$B$10</f>
        <v>7.5</v>
      </c>
      <c r="D10" s="6">
        <f t="shared" ref="D10:H10" si="4">D4*$B$10</f>
        <v>7.65</v>
      </c>
      <c r="E10" s="6">
        <f t="shared" si="4"/>
        <v>7.8030000000000008</v>
      </c>
      <c r="F10" s="6">
        <f t="shared" si="4"/>
        <v>7.9590600000000009</v>
      </c>
      <c r="G10" s="6">
        <f t="shared" si="4"/>
        <v>8.1182412000000017</v>
      </c>
      <c r="H10" s="6">
        <f t="shared" si="4"/>
        <v>8.2806060240000026</v>
      </c>
      <c r="I10" s="11"/>
      <c r="J10" s="11"/>
      <c r="K10" s="11"/>
      <c r="L10" s="11"/>
      <c r="M10" s="11"/>
    </row>
    <row r="11" spans="1:13" x14ac:dyDescent="0.25">
      <c r="A11" s="9" t="s">
        <v>92</v>
      </c>
      <c r="B11" s="43">
        <v>0.05</v>
      </c>
      <c r="C11" s="6">
        <f>C5*$B11</f>
        <v>45</v>
      </c>
      <c r="D11" s="6">
        <f>D5*$B$11</f>
        <v>42.75</v>
      </c>
      <c r="E11" s="6">
        <f t="shared" ref="E11:H11" si="5">E5*$B$11</f>
        <v>41.510250000000006</v>
      </c>
      <c r="F11" s="6">
        <f t="shared" si="5"/>
        <v>40.947446249999999</v>
      </c>
      <c r="G11" s="6">
        <f t="shared" si="5"/>
        <v>40.840044356249997</v>
      </c>
      <c r="H11" s="6">
        <f t="shared" si="5"/>
        <v>41.040821948906249</v>
      </c>
      <c r="I11" s="11"/>
      <c r="J11" s="11"/>
      <c r="K11" s="11"/>
      <c r="L11" s="11"/>
      <c r="M11" s="11"/>
    </row>
    <row r="12" spans="1:13" x14ac:dyDescent="0.25">
      <c r="A12" s="9" t="s">
        <v>93</v>
      </c>
      <c r="B12" s="83">
        <f>B11</f>
        <v>0.05</v>
      </c>
      <c r="C12" s="6">
        <f>C6*$B$12</f>
        <v>56.25</v>
      </c>
      <c r="D12" s="6">
        <f t="shared" ref="D12:H12" si="6">D6*$B$12</f>
        <v>54.382500000000007</v>
      </c>
      <c r="E12" s="6">
        <f t="shared" si="6"/>
        <v>53.480137500000005</v>
      </c>
      <c r="F12" s="6">
        <f t="shared" si="6"/>
        <v>53.226381937500008</v>
      </c>
      <c r="G12" s="6">
        <f t="shared" si="6"/>
        <v>53.410876298437501</v>
      </c>
      <c r="H12" s="6">
        <f t="shared" si="6"/>
        <v>53.893871694660938</v>
      </c>
      <c r="I12" s="11"/>
      <c r="J12" s="11"/>
      <c r="K12" s="11"/>
      <c r="L12" s="11"/>
      <c r="M12" s="11"/>
    </row>
    <row r="13" spans="1:13" x14ac:dyDescent="0.25">
      <c r="A13" s="9" t="s">
        <v>52</v>
      </c>
      <c r="B13" s="43">
        <v>0.25</v>
      </c>
      <c r="C13" s="6">
        <f>C6*$B$13</f>
        <v>281.25</v>
      </c>
      <c r="D13" s="6">
        <f t="shared" ref="D13:H13" si="7">D6*$B$13</f>
        <v>271.91250000000002</v>
      </c>
      <c r="E13" s="6">
        <f t="shared" si="7"/>
        <v>267.4006875</v>
      </c>
      <c r="F13" s="6">
        <f t="shared" si="7"/>
        <v>266.13190968750001</v>
      </c>
      <c r="G13" s="6">
        <f t="shared" si="7"/>
        <v>267.05438149218747</v>
      </c>
      <c r="H13" s="6">
        <f t="shared" si="7"/>
        <v>269.46935847330468</v>
      </c>
      <c r="I13" s="11"/>
      <c r="J13" s="11"/>
      <c r="K13" s="11"/>
      <c r="L13" s="11"/>
      <c r="M13" s="11"/>
    </row>
    <row r="14" spans="1:13" x14ac:dyDescent="0.25">
      <c r="A14" s="81" t="s">
        <v>54</v>
      </c>
      <c r="B14" s="82">
        <f>Summary!B14</f>
        <v>0.02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x14ac:dyDescent="0.25">
      <c r="A15" s="67" t="s">
        <v>94</v>
      </c>
      <c r="B15" s="47">
        <f>Summary!B4</f>
        <v>0.03</v>
      </c>
      <c r="C15" s="17">
        <v>10000</v>
      </c>
      <c r="D15" s="15">
        <f>C15*(1+$B$15+$B$14)</f>
        <v>10500</v>
      </c>
      <c r="E15" s="15">
        <f t="shared" ref="E15:H15" si="8">D15*(1+$B$15+$B$14)</f>
        <v>11025</v>
      </c>
      <c r="F15" s="15">
        <f t="shared" si="8"/>
        <v>11576.25</v>
      </c>
      <c r="G15" s="15">
        <f t="shared" si="8"/>
        <v>12155.0625</v>
      </c>
      <c r="H15" s="15">
        <f t="shared" si="8"/>
        <v>12762.815625000001</v>
      </c>
      <c r="I15" s="11"/>
      <c r="J15" s="11"/>
      <c r="K15" s="11"/>
      <c r="L15" s="11"/>
      <c r="M15" s="11"/>
    </row>
    <row r="16" spans="1:13" x14ac:dyDescent="0.25">
      <c r="A16" s="67" t="s">
        <v>95</v>
      </c>
      <c r="B16" s="42"/>
      <c r="C16" s="15">
        <f>C15</f>
        <v>10000</v>
      </c>
      <c r="D16" s="15">
        <f>D15</f>
        <v>10500</v>
      </c>
      <c r="E16" s="15">
        <f>E15</f>
        <v>11025</v>
      </c>
      <c r="F16" s="15">
        <f>F15</f>
        <v>11576.25</v>
      </c>
      <c r="G16" s="15">
        <f>G15</f>
        <v>12155.0625</v>
      </c>
      <c r="H16" s="15">
        <f>H15</f>
        <v>12762.815625000001</v>
      </c>
      <c r="I16" s="11"/>
      <c r="J16" s="11"/>
      <c r="K16" s="11"/>
      <c r="L16" s="11"/>
      <c r="M16" s="11"/>
    </row>
    <row r="17" spans="1:13" x14ac:dyDescent="0.25">
      <c r="A17" s="42"/>
      <c r="B17" s="54" t="s">
        <v>8</v>
      </c>
      <c r="C17" s="62">
        <f>Summary!B18+1</f>
        <v>2022</v>
      </c>
      <c r="D17" s="66">
        <f>C17+1</f>
        <v>2023</v>
      </c>
      <c r="E17" s="66">
        <f t="shared" ref="E17:H17" si="9">D17+1</f>
        <v>2024</v>
      </c>
      <c r="F17" s="66">
        <f t="shared" si="9"/>
        <v>2025</v>
      </c>
      <c r="G17" s="66">
        <f t="shared" si="9"/>
        <v>2026</v>
      </c>
      <c r="H17" s="66">
        <f t="shared" si="9"/>
        <v>2027</v>
      </c>
      <c r="I17" s="11"/>
      <c r="J17" s="11"/>
      <c r="K17" s="11"/>
      <c r="L17" s="11"/>
      <c r="M17" s="11"/>
    </row>
    <row r="18" spans="1:13" x14ac:dyDescent="0.25">
      <c r="A18" s="67" t="s">
        <v>96</v>
      </c>
      <c r="B18" s="18"/>
      <c r="C18" s="6">
        <f>C15*C7</f>
        <v>12000000</v>
      </c>
      <c r="D18" s="4">
        <f>D15*D7</f>
        <v>12190500</v>
      </c>
      <c r="E18" s="4">
        <f>E15*E7</f>
        <v>12594133.125</v>
      </c>
      <c r="F18" s="4">
        <f>F15*F7</f>
        <v>13165800.226031249</v>
      </c>
      <c r="G18" s="4">
        <f>G15*G7</f>
        <v>13875375.00010282</v>
      </c>
      <c r="H18" s="4">
        <f>H15*H7</f>
        <v>14703282.790549925</v>
      </c>
      <c r="I18" s="11"/>
      <c r="J18" s="11"/>
      <c r="K18" s="11"/>
      <c r="L18" s="11"/>
      <c r="M18" s="11"/>
    </row>
    <row r="19" spans="1:13" x14ac:dyDescent="0.25">
      <c r="A19" s="67" t="s">
        <v>97</v>
      </c>
      <c r="B19" s="18"/>
      <c r="C19" s="4">
        <f>C16*C8</f>
        <v>12000000</v>
      </c>
      <c r="D19" s="4">
        <f>D16*D8</f>
        <v>12223575.000000002</v>
      </c>
      <c r="E19" s="4">
        <f>E16*E8</f>
        <v>12652651.06875</v>
      </c>
      <c r="F19" s="4">
        <f>F16*F8</f>
        <v>13244598.761329688</v>
      </c>
      <c r="G19" s="4">
        <f>G16*G8</f>
        <v>13971028.083506279</v>
      </c>
      <c r="H19" s="4">
        <f>H16*H8</f>
        <v>14813589.434603043</v>
      </c>
      <c r="I19" s="11"/>
      <c r="J19" s="11"/>
      <c r="K19" s="11"/>
      <c r="L19" s="11"/>
      <c r="M19" s="11"/>
    </row>
    <row r="20" spans="1:13" x14ac:dyDescent="0.25">
      <c r="A20" s="85"/>
      <c r="B20" s="54" t="s">
        <v>53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x14ac:dyDescent="0.25">
      <c r="A21" s="67" t="s">
        <v>107</v>
      </c>
      <c r="B21" s="47">
        <f>Summary!B5</f>
        <v>0.02</v>
      </c>
      <c r="C21" s="43">
        <v>0.6</v>
      </c>
      <c r="D21" s="44">
        <f>C21*(1+$B$21)</f>
        <v>0.61199999999999999</v>
      </c>
      <c r="E21" s="44">
        <f t="shared" ref="E21:H21" si="10">D21*(1+$B$21)</f>
        <v>0.62424000000000002</v>
      </c>
      <c r="F21" s="44">
        <f t="shared" si="10"/>
        <v>0.63672479999999998</v>
      </c>
      <c r="G21" s="44">
        <f t="shared" si="10"/>
        <v>0.64945929599999996</v>
      </c>
      <c r="H21" s="44">
        <f t="shared" si="10"/>
        <v>0.66244848191999994</v>
      </c>
      <c r="I21" s="11"/>
      <c r="J21" s="11"/>
      <c r="K21" s="11"/>
      <c r="L21" s="11"/>
      <c r="M21" s="11"/>
    </row>
    <row r="22" spans="1:13" x14ac:dyDescent="0.25">
      <c r="A22" s="67" t="s">
        <v>108</v>
      </c>
      <c r="B22" s="11"/>
      <c r="C22" s="44">
        <f>C21</f>
        <v>0.6</v>
      </c>
      <c r="D22" s="44">
        <f>C22*(1+$B$21)</f>
        <v>0.61199999999999999</v>
      </c>
      <c r="E22" s="44">
        <f t="shared" ref="E22:H22" si="11">D22*(1+$B$21)</f>
        <v>0.62424000000000002</v>
      </c>
      <c r="F22" s="44">
        <f t="shared" si="11"/>
        <v>0.63672479999999998</v>
      </c>
      <c r="G22" s="44">
        <f t="shared" si="11"/>
        <v>0.64945929599999996</v>
      </c>
      <c r="H22" s="44">
        <f t="shared" si="11"/>
        <v>0.66244848191999994</v>
      </c>
      <c r="I22" s="11"/>
      <c r="J22" s="11"/>
      <c r="K22" s="11"/>
      <c r="L22" s="11"/>
      <c r="M22" s="11"/>
    </row>
    <row r="23" spans="1:13" x14ac:dyDescent="0.25">
      <c r="A23" s="86"/>
      <c r="B23" s="54" t="s">
        <v>53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25">
      <c r="A24" s="67" t="s">
        <v>98</v>
      </c>
      <c r="B24" s="48">
        <f>Summary!B7</f>
        <v>0.04</v>
      </c>
      <c r="C24" s="49">
        <f>Summary!B6</f>
        <v>0.4</v>
      </c>
      <c r="D24" s="44">
        <f>C24*(1+$B$24)</f>
        <v>0.41600000000000004</v>
      </c>
      <c r="E24" s="44">
        <f t="shared" ref="E24:H24" si="12">D24*(1+$B$24)</f>
        <v>0.43264000000000008</v>
      </c>
      <c r="F24" s="44">
        <f t="shared" si="12"/>
        <v>0.44994560000000011</v>
      </c>
      <c r="G24" s="44">
        <f t="shared" si="12"/>
        <v>0.46794342400000011</v>
      </c>
      <c r="H24" s="44">
        <f t="shared" si="12"/>
        <v>0.48666116096000012</v>
      </c>
      <c r="I24" s="11"/>
      <c r="J24" s="11"/>
      <c r="K24" s="11"/>
      <c r="L24" s="11"/>
      <c r="M24" s="11"/>
    </row>
    <row r="25" spans="1:13" x14ac:dyDescent="0.25">
      <c r="A25" s="67" t="s">
        <v>99</v>
      </c>
      <c r="B25" s="11"/>
      <c r="C25" s="45">
        <f>C24</f>
        <v>0.4</v>
      </c>
      <c r="D25" s="44">
        <f>C25*(1+$B$24)</f>
        <v>0.41600000000000004</v>
      </c>
      <c r="E25" s="44">
        <f t="shared" ref="E25:H25" si="13">D25*(1+$B$24)</f>
        <v>0.43264000000000008</v>
      </c>
      <c r="F25" s="44">
        <f t="shared" si="13"/>
        <v>0.44994560000000011</v>
      </c>
      <c r="G25" s="44">
        <f t="shared" si="13"/>
        <v>0.46794342400000011</v>
      </c>
      <c r="H25" s="44">
        <f t="shared" si="13"/>
        <v>0.48666116096000012</v>
      </c>
      <c r="I25" s="11"/>
      <c r="J25" s="11"/>
      <c r="K25" s="11"/>
      <c r="L25" s="11"/>
      <c r="M25" s="11"/>
    </row>
    <row r="26" spans="1:13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25">
      <c r="A27" s="67" t="s">
        <v>100</v>
      </c>
      <c r="B27" s="27"/>
      <c r="C27" s="34">
        <f>C24*C7*C15*C21</f>
        <v>2880000</v>
      </c>
      <c r="D27" s="34">
        <f>D24*D7*D15*D21</f>
        <v>3103603.7760000005</v>
      </c>
      <c r="E27" s="34">
        <f>E24*E7*E15*E21</f>
        <v>3401312.5654260488</v>
      </c>
      <c r="F27" s="34">
        <f>F24*F7*F15*F21</f>
        <v>3771890.1473534093</v>
      </c>
      <c r="G27" s="34">
        <f>G24*G7*G15*G21</f>
        <v>4216868.0845830822</v>
      </c>
      <c r="H27" s="34">
        <f>H24*H7*H15*H21</f>
        <v>4740161.1572312042</v>
      </c>
      <c r="I27" s="11"/>
      <c r="J27" s="11"/>
      <c r="K27" s="11"/>
      <c r="L27" s="11"/>
      <c r="M27" s="11"/>
    </row>
    <row r="28" spans="1:13" x14ac:dyDescent="0.25">
      <c r="A28" s="67" t="s">
        <v>101</v>
      </c>
      <c r="B28" s="27"/>
      <c r="C28" s="34">
        <f>C25*C8*C16*C22</f>
        <v>2880000</v>
      </c>
      <c r="D28" s="34">
        <f>D25*D8*D16*D22</f>
        <v>3112024.4064000007</v>
      </c>
      <c r="E28" s="34">
        <f>E25*E8*E16*E22</f>
        <v>3417116.5763416295</v>
      </c>
      <c r="F28" s="34">
        <f>F25*F8*F16*F22</f>
        <v>3794465.2596758949</v>
      </c>
      <c r="G28" s="34">
        <f>G25*G8*G16*G22</f>
        <v>4245938.0329335257</v>
      </c>
      <c r="H28" s="34">
        <f>H25*H8*H16*H22</f>
        <v>4775722.6897796486</v>
      </c>
      <c r="I28" s="11"/>
      <c r="J28" s="11"/>
      <c r="K28" s="11"/>
      <c r="L28" s="11"/>
      <c r="M28" s="11"/>
    </row>
    <row r="29" spans="1:13" x14ac:dyDescent="0.25">
      <c r="A29" s="68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x14ac:dyDescent="0.25">
      <c r="A30" s="67" t="s">
        <v>102</v>
      </c>
      <c r="B30" s="46"/>
      <c r="C30" s="4">
        <f>C18-C27</f>
        <v>9120000</v>
      </c>
      <c r="D30" s="4">
        <f>D18-D27</f>
        <v>9086896.2239999995</v>
      </c>
      <c r="E30" s="4">
        <f>E18-E27</f>
        <v>9192820.5595739521</v>
      </c>
      <c r="F30" s="4">
        <f>F18-F27</f>
        <v>9393910.0786778405</v>
      </c>
      <c r="G30" s="4">
        <f>G18-G27</f>
        <v>9658506.9155197367</v>
      </c>
      <c r="H30" s="4">
        <f>H18-H27</f>
        <v>9963121.6333187204</v>
      </c>
      <c r="I30" s="11"/>
      <c r="J30" s="11"/>
      <c r="K30" s="11"/>
      <c r="L30" s="11"/>
      <c r="M30" s="11"/>
    </row>
    <row r="31" spans="1:13" x14ac:dyDescent="0.25">
      <c r="A31" s="67" t="s">
        <v>103</v>
      </c>
      <c r="B31" s="46"/>
      <c r="C31" s="4">
        <f>C19-C28</f>
        <v>9120000</v>
      </c>
      <c r="D31" s="4">
        <f>D19-D28</f>
        <v>9111550.5936000012</v>
      </c>
      <c r="E31" s="4">
        <f>E19-E28</f>
        <v>9235534.4924083706</v>
      </c>
      <c r="F31" s="4">
        <f>F19-F28</f>
        <v>9450133.5016537942</v>
      </c>
      <c r="G31" s="4">
        <f>G19-G28</f>
        <v>9725090.050572753</v>
      </c>
      <c r="H31" s="4">
        <f>H19-H28</f>
        <v>10037866.744823394</v>
      </c>
      <c r="I31" s="11"/>
      <c r="J31" s="11"/>
      <c r="K31" s="11"/>
      <c r="L31" s="11"/>
      <c r="M31" s="11"/>
    </row>
    <row r="32" spans="1:13" x14ac:dyDescent="0.25">
      <c r="A32" s="68"/>
      <c r="B32" s="24"/>
      <c r="C32" s="24"/>
      <c r="D32" s="24"/>
      <c r="E32" s="24"/>
      <c r="F32" s="11"/>
      <c r="G32" s="11"/>
      <c r="H32" s="11"/>
      <c r="I32" s="11"/>
      <c r="J32" s="11"/>
      <c r="K32" s="11"/>
      <c r="L32" s="11"/>
      <c r="M32" s="11"/>
    </row>
    <row r="33" spans="1:19" x14ac:dyDescent="0.25">
      <c r="A33" s="67" t="s">
        <v>104</v>
      </c>
      <c r="B33" s="24"/>
      <c r="C33" s="44">
        <f>C27/C18</f>
        <v>0.24</v>
      </c>
      <c r="D33" s="44">
        <f>D27/D18</f>
        <v>0.25459200000000004</v>
      </c>
      <c r="E33" s="44">
        <f>E27/E18</f>
        <v>0.27007119360000009</v>
      </c>
      <c r="F33" s="44">
        <f>F27/F18</f>
        <v>0.28649152217088003</v>
      </c>
      <c r="G33" s="44">
        <f>G27/G18</f>
        <v>0.30391020671886954</v>
      </c>
      <c r="H33" s="44">
        <f>H27/H18</f>
        <v>0.32238794728737685</v>
      </c>
      <c r="I33" s="11"/>
      <c r="J33" s="11"/>
      <c r="K33" s="11"/>
      <c r="L33" s="11"/>
      <c r="M33" s="11"/>
    </row>
    <row r="34" spans="1:19" x14ac:dyDescent="0.25">
      <c r="A34" s="67" t="s">
        <v>105</v>
      </c>
      <c r="B34" s="24"/>
      <c r="C34" s="44">
        <f>C28/C19</f>
        <v>0.24</v>
      </c>
      <c r="D34" s="44">
        <f>D28/D19</f>
        <v>0.25459200000000004</v>
      </c>
      <c r="E34" s="44">
        <f>E28/E19</f>
        <v>0.27007119360000009</v>
      </c>
      <c r="F34" s="44">
        <f>F28/F19</f>
        <v>0.28649152217088003</v>
      </c>
      <c r="G34" s="44">
        <f>G28/G19</f>
        <v>0.30391020671886959</v>
      </c>
      <c r="H34" s="44">
        <f>H28/H19</f>
        <v>0.32238794728737685</v>
      </c>
      <c r="I34" s="11"/>
      <c r="J34" s="11"/>
      <c r="K34" s="11"/>
      <c r="L34" s="11"/>
      <c r="M34" s="11"/>
    </row>
    <row r="35" spans="1:19" x14ac:dyDescent="0.25">
      <c r="A35" s="65"/>
      <c r="B35" s="24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11"/>
      <c r="O35" s="11"/>
      <c r="P35" s="11"/>
      <c r="Q35" s="11"/>
      <c r="R35" s="11"/>
    </row>
    <row r="36" spans="1:19" x14ac:dyDescent="0.25">
      <c r="A36" s="84"/>
      <c r="B36" s="54" t="s">
        <v>53</v>
      </c>
      <c r="C36" s="56">
        <f>Summary!B18+1</f>
        <v>2022</v>
      </c>
      <c r="D36" s="66">
        <f>C36+1</f>
        <v>2023</v>
      </c>
      <c r="E36" s="66">
        <f>D36+1</f>
        <v>2024</v>
      </c>
      <c r="F36" s="66">
        <f>E36+1</f>
        <v>2025</v>
      </c>
      <c r="G36" s="66">
        <f>F36+1</f>
        <v>2026</v>
      </c>
      <c r="H36" s="66">
        <f>G36+1</f>
        <v>2027</v>
      </c>
      <c r="I36" s="55"/>
      <c r="J36" s="18"/>
      <c r="K36" s="18"/>
      <c r="L36" s="18"/>
      <c r="M36" s="18"/>
      <c r="N36" s="11"/>
      <c r="O36" s="11"/>
      <c r="P36" s="11"/>
      <c r="Q36" s="11"/>
      <c r="R36" s="11"/>
    </row>
    <row r="37" spans="1:19" x14ac:dyDescent="0.25">
      <c r="A37" s="67" t="s">
        <v>67</v>
      </c>
      <c r="B37" s="43">
        <v>0</v>
      </c>
      <c r="C37" s="2">
        <v>1000000</v>
      </c>
      <c r="D37" s="4">
        <f>C37*(1+$B$37+$B$14)</f>
        <v>1020000</v>
      </c>
      <c r="E37" s="4">
        <f>D37*(1+$B$37+$B$14)</f>
        <v>1040400</v>
      </c>
      <c r="F37" s="4">
        <f>E37*(1+$B$37+$B$14)</f>
        <v>1061208</v>
      </c>
      <c r="G37" s="4">
        <f>F37*(1+$B$37+$B$14)</f>
        <v>1082432.1599999999</v>
      </c>
      <c r="H37" s="4">
        <f>G37*(1+$B$37+$B$14)</f>
        <v>1104080.8032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9" x14ac:dyDescent="0.25">
      <c r="A38" s="67" t="s">
        <v>68</v>
      </c>
      <c r="B38" s="43">
        <v>0</v>
      </c>
      <c r="C38" s="2">
        <v>500000</v>
      </c>
      <c r="D38" s="4">
        <f>C38*(1+$B$38+$B$14)</f>
        <v>510000</v>
      </c>
      <c r="E38" s="4">
        <f>D38*(1+$B$38+$B$14)</f>
        <v>520200</v>
      </c>
      <c r="F38" s="4">
        <f>E38*(1+$B$38+$B$14)</f>
        <v>530604</v>
      </c>
      <c r="G38" s="4">
        <f>F38*(1+$B$38+$B$14)</f>
        <v>541216.07999999996</v>
      </c>
      <c r="H38" s="4">
        <f>G38*(1+$B$38+$B$14)</f>
        <v>552040.40159999998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9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9" x14ac:dyDescent="0.25">
      <c r="A40" s="64" t="s">
        <v>70</v>
      </c>
      <c r="B40" s="11"/>
      <c r="C40" s="75">
        <f>C2</f>
        <v>2022</v>
      </c>
      <c r="D40" s="75">
        <f>D2</f>
        <v>2023</v>
      </c>
      <c r="E40" s="75">
        <f>E2</f>
        <v>2024</v>
      </c>
      <c r="F40" s="75">
        <f>F2</f>
        <v>2025</v>
      </c>
      <c r="G40" s="75">
        <f>G2</f>
        <v>2026</v>
      </c>
      <c r="H40" s="75">
        <f>H2</f>
        <v>2027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x14ac:dyDescent="0.25">
      <c r="A41" s="9" t="s">
        <v>106</v>
      </c>
      <c r="B41" s="11"/>
      <c r="C41" s="4">
        <f>C7</f>
        <v>1200</v>
      </c>
      <c r="D41" s="4">
        <f>D7</f>
        <v>1161</v>
      </c>
      <c r="E41" s="4">
        <f>E7</f>
        <v>1142.325</v>
      </c>
      <c r="F41" s="4">
        <f>F7</f>
        <v>1137.3113249999999</v>
      </c>
      <c r="G41" s="4">
        <f>G7</f>
        <v>1141.5305351249999</v>
      </c>
      <c r="H41" s="4">
        <f>H7</f>
        <v>1152.0406799381249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x14ac:dyDescent="0.25">
      <c r="A42" s="9" t="s">
        <v>16</v>
      </c>
      <c r="B42" s="11"/>
      <c r="C42" s="4">
        <f>-C6*$B$13</f>
        <v>-281.25</v>
      </c>
      <c r="D42" s="4">
        <f>-D6*$B$13</f>
        <v>-271.91250000000002</v>
      </c>
      <c r="E42" s="4">
        <f>-E6*$B$13</f>
        <v>-267.4006875</v>
      </c>
      <c r="F42" s="4">
        <f>-F6*$B$13</f>
        <v>-266.13190968750001</v>
      </c>
      <c r="G42" s="4">
        <f>-G6*$B$13</f>
        <v>-267.05438149218747</v>
      </c>
      <c r="H42" s="4">
        <f>-H6*$B$13</f>
        <v>-269.46935847330468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x14ac:dyDescent="0.25">
      <c r="A43" s="9" t="s">
        <v>15</v>
      </c>
      <c r="B43" s="11"/>
      <c r="C43" s="16">
        <f>-C9-C11-C10-C12</f>
        <v>-138.75</v>
      </c>
      <c r="D43" s="16">
        <f>-D9-D11-D10-D12</f>
        <v>-135.38249999999999</v>
      </c>
      <c r="E43" s="16">
        <f>-E9-E11-E10-E12</f>
        <v>-134.00538750000001</v>
      </c>
      <c r="F43" s="16">
        <f>-F9-F11-F10-F12</f>
        <v>-133.96912818750002</v>
      </c>
      <c r="G43" s="16">
        <f>-G9-G11-G10-G12</f>
        <v>-134.84212665468749</v>
      </c>
      <c r="H43" s="16">
        <f>-H9-H11-H10-H12</f>
        <v>-136.3377237635672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x14ac:dyDescent="0.25">
      <c r="A44" s="9" t="s">
        <v>65</v>
      </c>
      <c r="B44" s="11"/>
      <c r="C44" s="52">
        <f>C4+D3</f>
        <v>381</v>
      </c>
      <c r="D44" s="52">
        <f>D4+E3</f>
        <v>388.62</v>
      </c>
      <c r="E44" s="52">
        <f>E4+F3</f>
        <v>396.39240000000007</v>
      </c>
      <c r="F44" s="52">
        <f>F4+G3</f>
        <v>404.32024800000005</v>
      </c>
      <c r="G44" s="52">
        <f>G4+H3</f>
        <v>412.40665296000009</v>
      </c>
      <c r="H44" s="52">
        <f>H4+H3</f>
        <v>414.03030120000011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25">
      <c r="A45" s="71" t="s">
        <v>66</v>
      </c>
      <c r="B45" s="11"/>
      <c r="C45" s="4">
        <f t="shared" ref="C45:H45" si="14">SUM(C41:C44)</f>
        <v>1161</v>
      </c>
      <c r="D45" s="4">
        <f t="shared" si="14"/>
        <v>1142.3249999999998</v>
      </c>
      <c r="E45" s="4">
        <f t="shared" si="14"/>
        <v>1137.3113250000001</v>
      </c>
      <c r="F45" s="4">
        <f t="shared" si="14"/>
        <v>1141.5305351249999</v>
      </c>
      <c r="G45" s="4">
        <f t="shared" si="14"/>
        <v>1152.0406799381249</v>
      </c>
      <c r="H45" s="4">
        <f t="shared" si="14"/>
        <v>1160.263898901253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 spans="1:19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  <row r="48" spans="1:19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1:18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1:18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 spans="1:18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1:18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</row>
    <row r="53" spans="1:18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8" x14ac:dyDescent="0.25">
      <c r="N54" s="11"/>
      <c r="O54" s="11"/>
      <c r="P54" s="11"/>
      <c r="Q54" s="11"/>
      <c r="R54" s="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5636-A213-484E-AF9D-BDE9FA890284}">
  <dimension ref="A1:O71"/>
  <sheetViews>
    <sheetView workbookViewId="0"/>
  </sheetViews>
  <sheetFormatPr defaultRowHeight="15" x14ac:dyDescent="0.25"/>
  <cols>
    <col min="1" max="1" width="22.28515625" customWidth="1"/>
    <col min="2" max="7" width="11.7109375" customWidth="1"/>
    <col min="8" max="8" width="12.140625" customWidth="1"/>
    <col min="9" max="10" width="13.28515625" bestFit="1" customWidth="1"/>
  </cols>
  <sheetData>
    <row r="1" spans="1:15" ht="60" x14ac:dyDescent="0.25">
      <c r="A1" s="57" t="str">
        <f>Summary!A1</f>
        <v>Pine Needle College</v>
      </c>
      <c r="B1" s="26" t="s">
        <v>20</v>
      </c>
      <c r="C1" s="26" t="s">
        <v>22</v>
      </c>
      <c r="D1" s="26" t="s">
        <v>23</v>
      </c>
      <c r="E1" s="26" t="s">
        <v>21</v>
      </c>
      <c r="F1" s="26" t="s">
        <v>24</v>
      </c>
      <c r="G1" s="26" t="s">
        <v>25</v>
      </c>
      <c r="H1" s="26" t="s">
        <v>26</v>
      </c>
      <c r="I1" s="26" t="s">
        <v>36</v>
      </c>
      <c r="J1" s="11"/>
      <c r="K1" s="11"/>
      <c r="L1" s="11"/>
      <c r="M1" s="11"/>
      <c r="N1" s="11"/>
      <c r="O1" s="11"/>
    </row>
    <row r="2" spans="1:15" x14ac:dyDescent="0.25">
      <c r="A2" s="9" t="s">
        <v>9</v>
      </c>
      <c r="B2" s="3">
        <v>100</v>
      </c>
      <c r="C2" s="2">
        <v>90000</v>
      </c>
      <c r="D2" s="49">
        <f>Summary!B15</f>
        <v>0.4</v>
      </c>
      <c r="E2" s="3">
        <v>20</v>
      </c>
      <c r="F2" s="2">
        <v>40000</v>
      </c>
      <c r="G2" s="49">
        <f>Summary!B15</f>
        <v>0.4</v>
      </c>
      <c r="H2" s="2">
        <v>100000</v>
      </c>
      <c r="I2" s="49">
        <f>Summary!B14</f>
        <v>0.02</v>
      </c>
      <c r="J2" s="11"/>
      <c r="K2" s="11"/>
      <c r="L2" s="11"/>
      <c r="M2" s="11"/>
      <c r="N2" s="11"/>
      <c r="O2" s="11"/>
    </row>
    <row r="3" spans="1:15" x14ac:dyDescent="0.25">
      <c r="A3" s="9" t="s">
        <v>10</v>
      </c>
      <c r="B3" s="11"/>
      <c r="C3" s="11"/>
      <c r="D3" s="11"/>
      <c r="E3" s="3">
        <v>20</v>
      </c>
      <c r="F3" s="2">
        <v>40000</v>
      </c>
      <c r="G3" s="49">
        <f>G2</f>
        <v>0.4</v>
      </c>
      <c r="H3" s="2">
        <v>100000</v>
      </c>
      <c r="I3" s="11"/>
      <c r="J3" s="11"/>
      <c r="K3" s="11"/>
      <c r="L3" s="11"/>
      <c r="M3" s="11"/>
      <c r="N3" s="11"/>
      <c r="O3" s="11"/>
    </row>
    <row r="4" spans="1:15" x14ac:dyDescent="0.25">
      <c r="A4" s="9" t="s">
        <v>11</v>
      </c>
      <c r="B4" s="11"/>
      <c r="C4" s="11"/>
      <c r="D4" s="11"/>
      <c r="E4" s="3">
        <v>20</v>
      </c>
      <c r="F4" s="2">
        <v>40000</v>
      </c>
      <c r="G4" s="49">
        <f>G2</f>
        <v>0.4</v>
      </c>
      <c r="H4" s="2">
        <v>100000</v>
      </c>
      <c r="I4" s="11"/>
      <c r="J4" s="11"/>
      <c r="K4" s="11"/>
      <c r="L4" s="11"/>
      <c r="M4" s="11"/>
      <c r="N4" s="11"/>
      <c r="O4" s="11"/>
    </row>
    <row r="5" spans="1:15" x14ac:dyDescent="0.25">
      <c r="A5" s="9" t="s">
        <v>12</v>
      </c>
      <c r="B5" s="11"/>
      <c r="C5" s="11"/>
      <c r="D5" s="11"/>
      <c r="E5" s="3">
        <v>20</v>
      </c>
      <c r="F5" s="2">
        <v>40000</v>
      </c>
      <c r="G5" s="49">
        <f>G2</f>
        <v>0.4</v>
      </c>
      <c r="H5" s="2">
        <v>100000</v>
      </c>
      <c r="I5" s="11"/>
      <c r="J5" s="11"/>
      <c r="K5" s="11"/>
      <c r="L5" s="11"/>
      <c r="M5" s="11"/>
      <c r="N5" s="11"/>
      <c r="O5" s="11"/>
    </row>
    <row r="6" spans="1:15" x14ac:dyDescent="0.25">
      <c r="A6" s="9" t="s">
        <v>13</v>
      </c>
      <c r="B6" s="11"/>
      <c r="C6" s="11"/>
      <c r="D6" s="11"/>
      <c r="E6" s="3">
        <v>20</v>
      </c>
      <c r="F6" s="2">
        <v>40000</v>
      </c>
      <c r="G6" s="49">
        <f>G2</f>
        <v>0.4</v>
      </c>
      <c r="H6" s="2">
        <v>500000</v>
      </c>
      <c r="I6" s="11"/>
      <c r="J6" s="11"/>
      <c r="K6" s="11"/>
      <c r="L6" s="11"/>
      <c r="M6" s="11"/>
      <c r="N6" s="11"/>
      <c r="O6" s="11"/>
    </row>
    <row r="7" spans="1:15" x14ac:dyDescent="0.25">
      <c r="A7" s="11"/>
      <c r="B7" s="11"/>
      <c r="C7" s="11"/>
      <c r="D7" s="11"/>
      <c r="E7" s="11"/>
      <c r="F7" s="11"/>
      <c r="G7" s="11"/>
      <c r="H7" s="11"/>
      <c r="I7" s="11"/>
      <c r="J7" s="23"/>
      <c r="K7" s="11"/>
      <c r="L7" s="11"/>
      <c r="M7" s="11"/>
      <c r="N7" s="11"/>
      <c r="O7" s="11"/>
    </row>
    <row r="8" spans="1:15" x14ac:dyDescent="0.25">
      <c r="A8" s="8" t="s">
        <v>30</v>
      </c>
      <c r="B8" s="62">
        <f>Summary!$B$18+1</f>
        <v>2022</v>
      </c>
      <c r="C8" s="62">
        <f>B8+1</f>
        <v>2023</v>
      </c>
      <c r="D8" s="62">
        <f t="shared" ref="D8:F8" si="0">C8+1</f>
        <v>2024</v>
      </c>
      <c r="E8" s="62">
        <f t="shared" si="0"/>
        <v>2025</v>
      </c>
      <c r="F8" s="62">
        <f t="shared" si="0"/>
        <v>2026</v>
      </c>
      <c r="G8" s="62">
        <f>F8+1</f>
        <v>2027</v>
      </c>
      <c r="H8" s="8" t="s">
        <v>35</v>
      </c>
      <c r="I8" s="11"/>
      <c r="J8" s="11"/>
      <c r="K8" s="11"/>
      <c r="L8" s="11"/>
      <c r="M8" s="11"/>
      <c r="N8" s="11"/>
      <c r="O8" s="11"/>
    </row>
    <row r="9" spans="1:15" x14ac:dyDescent="0.25">
      <c r="A9" s="9" t="str">
        <f>Summary!$E13</f>
        <v>Instruction</v>
      </c>
      <c r="B9" s="13">
        <f>B2</f>
        <v>100</v>
      </c>
      <c r="C9" s="13">
        <f>B9+$H$9</f>
        <v>100</v>
      </c>
      <c r="D9" s="13">
        <f t="shared" ref="D9:G9" si="1">C9+$H$9</f>
        <v>100</v>
      </c>
      <c r="E9" s="13">
        <f t="shared" si="1"/>
        <v>100</v>
      </c>
      <c r="F9" s="13">
        <f t="shared" si="1"/>
        <v>100</v>
      </c>
      <c r="G9" s="13">
        <f t="shared" si="1"/>
        <v>100</v>
      </c>
      <c r="H9" s="1">
        <f>Summary!$B$9</f>
        <v>0</v>
      </c>
      <c r="I9" s="11"/>
      <c r="J9" s="11"/>
      <c r="K9" s="11"/>
      <c r="L9" s="11"/>
      <c r="M9" s="11"/>
      <c r="N9" s="11"/>
      <c r="O9" s="11"/>
    </row>
    <row r="10" spans="1:15" x14ac:dyDescent="0.25">
      <c r="A10" s="9" t="str">
        <f>Summary!$E14</f>
        <v>Academic Support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5">
      <c r="A11" s="60"/>
      <c r="B11" s="11"/>
      <c r="C11" s="11"/>
      <c r="D11" s="11"/>
      <c r="E11" s="11"/>
      <c r="F11" s="11"/>
      <c r="G11" s="11"/>
      <c r="H11" s="8" t="s">
        <v>34</v>
      </c>
      <c r="I11" s="11"/>
      <c r="J11" s="11"/>
      <c r="K11" s="11"/>
      <c r="L11" s="11"/>
      <c r="M11" s="11"/>
      <c r="N11" s="11"/>
      <c r="O11" s="11"/>
    </row>
    <row r="12" spans="1:15" x14ac:dyDescent="0.25">
      <c r="A12" s="25" t="s">
        <v>31</v>
      </c>
      <c r="B12" s="62">
        <f>Summary!$B$18+1</f>
        <v>2022</v>
      </c>
      <c r="C12" s="62">
        <f>B12+1</f>
        <v>2023</v>
      </c>
      <c r="D12" s="62">
        <f t="shared" ref="D12:F12" si="2">C12+1</f>
        <v>2024</v>
      </c>
      <c r="E12" s="62">
        <f t="shared" si="2"/>
        <v>2025</v>
      </c>
      <c r="F12" s="62">
        <f t="shared" si="2"/>
        <v>2026</v>
      </c>
      <c r="G12" s="62">
        <f>F12+1</f>
        <v>2027</v>
      </c>
      <c r="H12" s="1">
        <v>0</v>
      </c>
      <c r="I12" s="11"/>
      <c r="J12" s="11"/>
      <c r="K12" s="11"/>
      <c r="L12" s="11"/>
      <c r="M12" s="11"/>
      <c r="N12" s="11"/>
      <c r="O12" s="11"/>
    </row>
    <row r="13" spans="1:15" x14ac:dyDescent="0.25">
      <c r="A13" s="9" t="str">
        <f>Summary!$E13</f>
        <v>Instruction</v>
      </c>
      <c r="B13" s="13">
        <f>E2</f>
        <v>20</v>
      </c>
      <c r="C13" s="59">
        <f>B13+(B13/B$18)*$H$12</f>
        <v>20</v>
      </c>
      <c r="D13" s="59">
        <f>C13+(C13/C$18)*$H$12</f>
        <v>20</v>
      </c>
      <c r="E13" s="59">
        <f t="shared" ref="E13:G13" si="3">D13+(D13/D$18)*$H$12</f>
        <v>20</v>
      </c>
      <c r="F13" s="59">
        <f t="shared" si="3"/>
        <v>20</v>
      </c>
      <c r="G13" s="59">
        <f t="shared" si="3"/>
        <v>20</v>
      </c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9" t="str">
        <f>Summary!$E14</f>
        <v>Academic Support</v>
      </c>
      <c r="B14" s="13">
        <f t="shared" ref="B14:B17" si="4">E3</f>
        <v>20</v>
      </c>
      <c r="C14" s="59">
        <f t="shared" ref="C14:G14" si="5">B14+(B14/B$18)*$H$12</f>
        <v>20</v>
      </c>
      <c r="D14" s="59">
        <f t="shared" si="5"/>
        <v>20</v>
      </c>
      <c r="E14" s="59">
        <f t="shared" si="5"/>
        <v>20</v>
      </c>
      <c r="F14" s="59">
        <f t="shared" si="5"/>
        <v>20</v>
      </c>
      <c r="G14" s="59">
        <f t="shared" si="5"/>
        <v>20</v>
      </c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9" t="str">
        <f>Summary!$E15</f>
        <v>Student Affairs</v>
      </c>
      <c r="B15" s="13">
        <f t="shared" si="4"/>
        <v>20</v>
      </c>
      <c r="C15" s="59">
        <f t="shared" ref="C15:G15" si="6">B15+(B15/B$18)*$H$12</f>
        <v>20</v>
      </c>
      <c r="D15" s="59">
        <f t="shared" si="6"/>
        <v>20</v>
      </c>
      <c r="E15" s="59">
        <f t="shared" si="6"/>
        <v>20</v>
      </c>
      <c r="F15" s="59">
        <f t="shared" si="6"/>
        <v>20</v>
      </c>
      <c r="G15" s="59">
        <f t="shared" si="6"/>
        <v>20</v>
      </c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9" t="str">
        <f>Summary!$E16</f>
        <v>Administrative Support</v>
      </c>
      <c r="B16" s="13">
        <f t="shared" si="4"/>
        <v>20</v>
      </c>
      <c r="C16" s="59">
        <f t="shared" ref="C16:G16" si="7">B16+(B16/B$18)*$H$12</f>
        <v>20</v>
      </c>
      <c r="D16" s="59">
        <f t="shared" si="7"/>
        <v>20</v>
      </c>
      <c r="E16" s="59">
        <f t="shared" si="7"/>
        <v>20</v>
      </c>
      <c r="F16" s="59">
        <f t="shared" si="7"/>
        <v>20</v>
      </c>
      <c r="G16" s="59">
        <f t="shared" si="7"/>
        <v>20</v>
      </c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9" t="str">
        <f>Summary!$E17</f>
        <v>Plant Operations</v>
      </c>
      <c r="B17" s="19">
        <f t="shared" si="4"/>
        <v>20</v>
      </c>
      <c r="C17" s="19">
        <f t="shared" ref="C17:G17" si="8">B17+(B17/B$18)*$H$12</f>
        <v>20</v>
      </c>
      <c r="D17" s="19">
        <f t="shared" si="8"/>
        <v>20</v>
      </c>
      <c r="E17" s="19">
        <f t="shared" si="8"/>
        <v>20</v>
      </c>
      <c r="F17" s="19">
        <f t="shared" si="8"/>
        <v>20</v>
      </c>
      <c r="G17" s="19">
        <f t="shared" si="8"/>
        <v>20</v>
      </c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60"/>
      <c r="B18" s="13">
        <f>SUM(B13:B17)</f>
        <v>100</v>
      </c>
      <c r="C18" s="13">
        <f t="shared" ref="C18:G18" si="9">SUM(C13:C17)</f>
        <v>100</v>
      </c>
      <c r="D18" s="13">
        <f t="shared" si="9"/>
        <v>100</v>
      </c>
      <c r="E18" s="13">
        <f t="shared" si="9"/>
        <v>100</v>
      </c>
      <c r="F18" s="13">
        <f t="shared" si="9"/>
        <v>100</v>
      </c>
      <c r="G18" s="13">
        <f t="shared" si="9"/>
        <v>100</v>
      </c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6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25" t="s">
        <v>32</v>
      </c>
      <c r="B20" s="62">
        <f>Summary!$B$18+1</f>
        <v>2022</v>
      </c>
      <c r="C20" s="62">
        <f>B20+1</f>
        <v>2023</v>
      </c>
      <c r="D20" s="62">
        <f t="shared" ref="D20:F20" si="10">C20+1</f>
        <v>2024</v>
      </c>
      <c r="E20" s="62">
        <f t="shared" si="10"/>
        <v>2025</v>
      </c>
      <c r="F20" s="62">
        <f t="shared" si="10"/>
        <v>2026</v>
      </c>
      <c r="G20" s="62">
        <f>F20+1</f>
        <v>2027</v>
      </c>
      <c r="H20" s="8" t="s">
        <v>48</v>
      </c>
      <c r="I20" s="11"/>
      <c r="J20" s="11"/>
      <c r="K20" s="11"/>
      <c r="L20" s="11"/>
      <c r="M20" s="11"/>
      <c r="N20" s="11"/>
      <c r="O20" s="11"/>
    </row>
    <row r="21" spans="1:15" x14ac:dyDescent="0.25">
      <c r="A21" s="9" t="str">
        <f>Summary!$E13</f>
        <v>Instruction</v>
      </c>
      <c r="B21" s="6">
        <f>C2</f>
        <v>90000</v>
      </c>
      <c r="C21" s="6">
        <f>B21*(1+$I$2+$H$21)</f>
        <v>92700</v>
      </c>
      <c r="D21" s="6">
        <f t="shared" ref="D21:G21" si="11">C21*(1+$I$2+$H$21)</f>
        <v>95481</v>
      </c>
      <c r="E21" s="6">
        <f t="shared" si="11"/>
        <v>98345.430000000008</v>
      </c>
      <c r="F21" s="6">
        <f t="shared" si="11"/>
        <v>101295.79290000001</v>
      </c>
      <c r="G21" s="6">
        <f t="shared" si="11"/>
        <v>104334.66668700002</v>
      </c>
      <c r="H21" s="49">
        <f>Summary!B8</f>
        <v>0.01</v>
      </c>
      <c r="I21" s="11"/>
      <c r="J21" s="11"/>
      <c r="K21" s="11"/>
      <c r="L21" s="11"/>
      <c r="M21" s="11"/>
      <c r="N21" s="11"/>
      <c r="O21" s="11"/>
    </row>
    <row r="22" spans="1:15" x14ac:dyDescent="0.25">
      <c r="A22" s="9" t="str">
        <f>Summary!$E14</f>
        <v>Academic Support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5">
      <c r="A23" s="6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25" t="s">
        <v>33</v>
      </c>
      <c r="B24" s="62">
        <f>Summary!$B$18+1</f>
        <v>2022</v>
      </c>
      <c r="C24" s="62">
        <f>B24+1</f>
        <v>2023</v>
      </c>
      <c r="D24" s="62">
        <f t="shared" ref="D24:F24" si="12">C24+1</f>
        <v>2024</v>
      </c>
      <c r="E24" s="62">
        <f t="shared" si="12"/>
        <v>2025</v>
      </c>
      <c r="F24" s="62">
        <f t="shared" si="12"/>
        <v>2026</v>
      </c>
      <c r="G24" s="62">
        <f>F24+1</f>
        <v>2027</v>
      </c>
      <c r="H24" s="8" t="s">
        <v>48</v>
      </c>
      <c r="I24" s="11"/>
      <c r="J24" s="11"/>
      <c r="K24" s="11"/>
      <c r="L24" s="11"/>
      <c r="M24" s="11"/>
      <c r="N24" s="11"/>
      <c r="O24" s="11"/>
    </row>
    <row r="25" spans="1:15" x14ac:dyDescent="0.25">
      <c r="A25" s="9" t="str">
        <f>Summary!$E13</f>
        <v>Instruction</v>
      </c>
      <c r="B25" s="6">
        <f>F2</f>
        <v>40000</v>
      </c>
      <c r="C25" s="6">
        <f>B25*(1+$H$25+$I$2)</f>
        <v>41200</v>
      </c>
      <c r="D25" s="6">
        <f t="shared" ref="D25:G25" si="13">C25*(1+$H$25+$I$2)</f>
        <v>42436</v>
      </c>
      <c r="E25" s="6">
        <f t="shared" si="13"/>
        <v>43709.08</v>
      </c>
      <c r="F25" s="6">
        <f t="shared" si="13"/>
        <v>45020.352400000003</v>
      </c>
      <c r="G25" s="6">
        <f t="shared" si="13"/>
        <v>46370.962972000001</v>
      </c>
      <c r="H25" s="49">
        <f>Summary!B8</f>
        <v>0.01</v>
      </c>
      <c r="I25" s="11"/>
      <c r="J25" s="11"/>
      <c r="K25" s="11"/>
      <c r="L25" s="11"/>
      <c r="M25" s="11"/>
      <c r="N25" s="11"/>
      <c r="O25" s="11"/>
    </row>
    <row r="26" spans="1:15" x14ac:dyDescent="0.25">
      <c r="A26" s="9" t="str">
        <f>Summary!$E14</f>
        <v>Academic Support</v>
      </c>
      <c r="B26" s="6">
        <f t="shared" ref="B26:B29" si="14">F3</f>
        <v>40000</v>
      </c>
      <c r="C26" s="6">
        <f t="shared" ref="C26:G29" si="15">B26*(1+$H$25+$I$2)</f>
        <v>41200</v>
      </c>
      <c r="D26" s="6">
        <f t="shared" si="15"/>
        <v>42436</v>
      </c>
      <c r="E26" s="6">
        <f t="shared" si="15"/>
        <v>43709.08</v>
      </c>
      <c r="F26" s="6">
        <f t="shared" si="15"/>
        <v>45020.352400000003</v>
      </c>
      <c r="G26" s="6">
        <f t="shared" si="15"/>
        <v>46370.962972000001</v>
      </c>
      <c r="H26" s="11"/>
      <c r="I26" s="11"/>
      <c r="J26" s="11"/>
      <c r="K26" s="11"/>
      <c r="L26" s="11"/>
      <c r="M26" s="11"/>
      <c r="N26" s="11"/>
      <c r="O26" s="11"/>
    </row>
    <row r="27" spans="1:15" x14ac:dyDescent="0.25">
      <c r="A27" s="9" t="str">
        <f>Summary!$E15</f>
        <v>Student Affairs</v>
      </c>
      <c r="B27" s="6">
        <f t="shared" si="14"/>
        <v>40000</v>
      </c>
      <c r="C27" s="6">
        <f t="shared" si="15"/>
        <v>41200</v>
      </c>
      <c r="D27" s="6">
        <f t="shared" si="15"/>
        <v>42436</v>
      </c>
      <c r="E27" s="6">
        <f t="shared" si="15"/>
        <v>43709.08</v>
      </c>
      <c r="F27" s="6">
        <f t="shared" si="15"/>
        <v>45020.352400000003</v>
      </c>
      <c r="G27" s="6">
        <f t="shared" si="15"/>
        <v>46370.962972000001</v>
      </c>
      <c r="H27" s="11"/>
      <c r="I27" s="11"/>
      <c r="J27" s="11"/>
      <c r="K27" s="11"/>
      <c r="L27" s="11"/>
      <c r="M27" s="11"/>
      <c r="N27" s="11"/>
      <c r="O27" s="11"/>
    </row>
    <row r="28" spans="1:15" x14ac:dyDescent="0.25">
      <c r="A28" s="9" t="str">
        <f>Summary!$E16</f>
        <v>Administrative Support</v>
      </c>
      <c r="B28" s="6">
        <f t="shared" si="14"/>
        <v>40000</v>
      </c>
      <c r="C28" s="6">
        <f t="shared" si="15"/>
        <v>41200</v>
      </c>
      <c r="D28" s="6">
        <f t="shared" si="15"/>
        <v>42436</v>
      </c>
      <c r="E28" s="6">
        <f t="shared" si="15"/>
        <v>43709.08</v>
      </c>
      <c r="F28" s="6">
        <f t="shared" si="15"/>
        <v>45020.352400000003</v>
      </c>
      <c r="G28" s="6">
        <f t="shared" si="15"/>
        <v>46370.962972000001</v>
      </c>
      <c r="H28" s="11"/>
      <c r="I28" s="11"/>
      <c r="J28" s="11"/>
      <c r="K28" s="11"/>
      <c r="L28" s="11"/>
      <c r="M28" s="11"/>
      <c r="N28" s="11"/>
      <c r="O28" s="11"/>
    </row>
    <row r="29" spans="1:15" x14ac:dyDescent="0.25">
      <c r="A29" s="9" t="str">
        <f>Summary!$E17</f>
        <v>Plant Operations</v>
      </c>
      <c r="B29" s="6">
        <f t="shared" si="14"/>
        <v>40000</v>
      </c>
      <c r="C29" s="6">
        <f t="shared" si="15"/>
        <v>41200</v>
      </c>
      <c r="D29" s="6">
        <f t="shared" si="15"/>
        <v>42436</v>
      </c>
      <c r="E29" s="6">
        <f t="shared" si="15"/>
        <v>43709.08</v>
      </c>
      <c r="F29" s="6">
        <f t="shared" si="15"/>
        <v>45020.352400000003</v>
      </c>
      <c r="G29" s="6">
        <f t="shared" si="15"/>
        <v>46370.962972000001</v>
      </c>
      <c r="H29" s="11"/>
      <c r="I29" s="11"/>
      <c r="J29" s="11"/>
      <c r="K29" s="11"/>
      <c r="L29" s="11"/>
      <c r="M29" s="11"/>
      <c r="N29" s="11"/>
      <c r="O29" s="11"/>
    </row>
    <row r="30" spans="1:15" x14ac:dyDescent="0.25">
      <c r="A30" s="6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5">
      <c r="A31" s="25" t="s">
        <v>27</v>
      </c>
      <c r="B31" s="62">
        <f>Summary!$B$18+1</f>
        <v>2022</v>
      </c>
      <c r="C31" s="62">
        <f>B31+1</f>
        <v>2023</v>
      </c>
      <c r="D31" s="62">
        <f t="shared" ref="D31:F31" si="16">C31+1</f>
        <v>2024</v>
      </c>
      <c r="E31" s="62">
        <f t="shared" si="16"/>
        <v>2025</v>
      </c>
      <c r="F31" s="62">
        <f t="shared" si="16"/>
        <v>2026</v>
      </c>
      <c r="G31" s="62">
        <f>F31+1</f>
        <v>2027</v>
      </c>
      <c r="H31" s="11"/>
      <c r="I31" s="11"/>
      <c r="J31" s="11"/>
      <c r="K31" s="11"/>
      <c r="L31" s="11"/>
      <c r="M31" s="11"/>
      <c r="N31" s="11"/>
      <c r="O31" s="11"/>
    </row>
    <row r="32" spans="1:15" x14ac:dyDescent="0.25">
      <c r="A32" s="9" t="str">
        <f>Summary!$E13</f>
        <v>Instruction</v>
      </c>
      <c r="B32" s="6">
        <f>B9*B21+B13*B25</f>
        <v>9800000</v>
      </c>
      <c r="C32" s="6">
        <f t="shared" ref="C32:G32" si="17">C9*C21+C13*C25</f>
        <v>10094000</v>
      </c>
      <c r="D32" s="6">
        <f t="shared" si="17"/>
        <v>10396820</v>
      </c>
      <c r="E32" s="6">
        <f t="shared" si="17"/>
        <v>10708724.6</v>
      </c>
      <c r="F32" s="6">
        <f t="shared" si="17"/>
        <v>11029986.338000001</v>
      </c>
      <c r="G32" s="6">
        <f t="shared" si="17"/>
        <v>11360885.928140001</v>
      </c>
      <c r="H32" s="11"/>
      <c r="I32" s="24"/>
      <c r="J32" s="11"/>
      <c r="K32" s="11"/>
      <c r="L32" s="11"/>
      <c r="M32" s="11"/>
      <c r="N32" s="11"/>
      <c r="O32" s="11"/>
    </row>
    <row r="33" spans="1:15" x14ac:dyDescent="0.25">
      <c r="A33" s="9" t="str">
        <f>Summary!$E14</f>
        <v>Academic Support</v>
      </c>
      <c r="B33" s="6">
        <f>B14*B26+B10*B22</f>
        <v>800000</v>
      </c>
      <c r="C33" s="6">
        <f t="shared" ref="C33:G33" si="18">C14*C26+C10*C22</f>
        <v>824000</v>
      </c>
      <c r="D33" s="6">
        <f t="shared" si="18"/>
        <v>848720</v>
      </c>
      <c r="E33" s="6">
        <f t="shared" si="18"/>
        <v>874181.60000000009</v>
      </c>
      <c r="F33" s="6">
        <f t="shared" si="18"/>
        <v>900407.04800000007</v>
      </c>
      <c r="G33" s="6">
        <f t="shared" si="18"/>
        <v>927419.25944000005</v>
      </c>
      <c r="H33" s="11"/>
      <c r="I33" s="11"/>
      <c r="J33" s="11"/>
      <c r="K33" s="11"/>
      <c r="L33" s="11"/>
      <c r="M33" s="11"/>
      <c r="N33" s="11"/>
      <c r="O33" s="11"/>
    </row>
    <row r="34" spans="1:15" x14ac:dyDescent="0.25">
      <c r="A34" s="9" t="str">
        <f>Summary!$E15</f>
        <v>Student Affairs</v>
      </c>
      <c r="B34" s="6">
        <f t="shared" ref="B34:G36" si="19">B15*B27</f>
        <v>800000</v>
      </c>
      <c r="C34" s="6">
        <f t="shared" si="19"/>
        <v>824000</v>
      </c>
      <c r="D34" s="6">
        <f t="shared" si="19"/>
        <v>848720</v>
      </c>
      <c r="E34" s="6">
        <f t="shared" si="19"/>
        <v>874181.60000000009</v>
      </c>
      <c r="F34" s="6">
        <f t="shared" si="19"/>
        <v>900407.04800000007</v>
      </c>
      <c r="G34" s="6">
        <f t="shared" si="19"/>
        <v>927419.25944000005</v>
      </c>
      <c r="H34" s="11"/>
      <c r="I34" s="11"/>
      <c r="J34" s="11"/>
      <c r="K34" s="11"/>
      <c r="L34" s="11"/>
      <c r="M34" s="11"/>
      <c r="N34" s="11"/>
      <c r="O34" s="11"/>
    </row>
    <row r="35" spans="1:15" x14ac:dyDescent="0.25">
      <c r="A35" s="9" t="str">
        <f>Summary!$E16</f>
        <v>Administrative Support</v>
      </c>
      <c r="B35" s="6">
        <f t="shared" si="19"/>
        <v>800000</v>
      </c>
      <c r="C35" s="6">
        <f t="shared" si="19"/>
        <v>824000</v>
      </c>
      <c r="D35" s="6">
        <f t="shared" si="19"/>
        <v>848720</v>
      </c>
      <c r="E35" s="6">
        <f t="shared" si="19"/>
        <v>874181.60000000009</v>
      </c>
      <c r="F35" s="6">
        <f t="shared" si="19"/>
        <v>900407.04800000007</v>
      </c>
      <c r="G35" s="6">
        <f t="shared" si="19"/>
        <v>927419.25944000005</v>
      </c>
      <c r="H35" s="11"/>
      <c r="I35" s="11"/>
      <c r="J35" s="11"/>
      <c r="K35" s="11"/>
      <c r="L35" s="11"/>
      <c r="M35" s="11"/>
      <c r="N35" s="11"/>
      <c r="O35" s="11"/>
    </row>
    <row r="36" spans="1:15" x14ac:dyDescent="0.25">
      <c r="A36" s="9" t="str">
        <f>Summary!$E17</f>
        <v>Plant Operations</v>
      </c>
      <c r="B36" s="6">
        <f t="shared" si="19"/>
        <v>800000</v>
      </c>
      <c r="C36" s="6">
        <f t="shared" si="19"/>
        <v>824000</v>
      </c>
      <c r="D36" s="6">
        <f t="shared" si="19"/>
        <v>848720</v>
      </c>
      <c r="E36" s="6">
        <f t="shared" si="19"/>
        <v>874181.60000000009</v>
      </c>
      <c r="F36" s="6">
        <f t="shared" si="19"/>
        <v>900407.04800000007</v>
      </c>
      <c r="G36" s="6">
        <f t="shared" si="19"/>
        <v>927419.25944000005</v>
      </c>
      <c r="H36" s="11"/>
      <c r="I36" s="11"/>
      <c r="J36" s="11"/>
      <c r="K36" s="11"/>
      <c r="L36" s="11"/>
      <c r="M36" s="11"/>
      <c r="N36" s="11"/>
      <c r="O36" s="11"/>
    </row>
    <row r="37" spans="1:15" x14ac:dyDescent="0.25">
      <c r="A37" s="60"/>
      <c r="B37" s="11"/>
      <c r="C37" s="11"/>
      <c r="D37" s="11"/>
      <c r="E37" s="11"/>
      <c r="F37" s="11"/>
      <c r="G37" s="11"/>
      <c r="H37" s="13" t="s">
        <v>45</v>
      </c>
      <c r="I37" s="11"/>
      <c r="J37" s="11"/>
      <c r="K37" s="11"/>
      <c r="L37" s="11"/>
      <c r="M37" s="11"/>
      <c r="N37" s="11"/>
      <c r="O37" s="11"/>
    </row>
    <row r="38" spans="1:15" x14ac:dyDescent="0.25">
      <c r="A38" s="25" t="s">
        <v>1</v>
      </c>
      <c r="B38" s="62">
        <f>Summary!$B$18+1</f>
        <v>2022</v>
      </c>
      <c r="C38" s="62">
        <f>B38+1</f>
        <v>2023</v>
      </c>
      <c r="D38" s="62">
        <f t="shared" ref="D38:G38" si="20">C38+1</f>
        <v>2024</v>
      </c>
      <c r="E38" s="62">
        <f t="shared" si="20"/>
        <v>2025</v>
      </c>
      <c r="F38" s="62">
        <f t="shared" si="20"/>
        <v>2026</v>
      </c>
      <c r="G38" s="62">
        <f t="shared" si="20"/>
        <v>2027</v>
      </c>
      <c r="H38" s="47">
        <f>Summary!B16</f>
        <v>0</v>
      </c>
      <c r="I38" s="11"/>
      <c r="J38" s="11"/>
      <c r="K38" s="11"/>
      <c r="L38" s="11"/>
      <c r="M38" s="11"/>
      <c r="N38" s="11"/>
      <c r="O38" s="11"/>
    </row>
    <row r="39" spans="1:15" x14ac:dyDescent="0.25">
      <c r="A39" s="9" t="s">
        <v>46</v>
      </c>
      <c r="B39" s="20">
        <f>D2</f>
        <v>0.4</v>
      </c>
      <c r="C39" s="14">
        <f>B39*(1+$H$38)</f>
        <v>0.4</v>
      </c>
      <c r="D39" s="14">
        <f t="shared" ref="D39:G39" si="21">C39*(1+$H$38)</f>
        <v>0.4</v>
      </c>
      <c r="E39" s="14">
        <f t="shared" si="21"/>
        <v>0.4</v>
      </c>
      <c r="F39" s="14">
        <f t="shared" si="21"/>
        <v>0.4</v>
      </c>
      <c r="G39" s="14">
        <f t="shared" si="21"/>
        <v>0.4</v>
      </c>
      <c r="H39" s="11"/>
      <c r="I39" s="11"/>
      <c r="J39" s="11"/>
      <c r="K39" s="11"/>
      <c r="L39" s="11"/>
      <c r="M39" s="11"/>
      <c r="N39" s="11"/>
      <c r="O39" s="11"/>
    </row>
    <row r="40" spans="1:15" x14ac:dyDescent="0.25">
      <c r="A40" s="9" t="s">
        <v>47</v>
      </c>
      <c r="B40" s="20">
        <f>G2</f>
        <v>0.4</v>
      </c>
      <c r="C40" s="14">
        <f t="shared" ref="C40:G44" si="22">B40*(1+$H$38)</f>
        <v>0.4</v>
      </c>
      <c r="D40" s="14">
        <f t="shared" si="22"/>
        <v>0.4</v>
      </c>
      <c r="E40" s="14">
        <f t="shared" si="22"/>
        <v>0.4</v>
      </c>
      <c r="F40" s="14">
        <f t="shared" si="22"/>
        <v>0.4</v>
      </c>
      <c r="G40" s="14">
        <f t="shared" si="22"/>
        <v>0.4</v>
      </c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9" t="str">
        <f>Summary!$E14</f>
        <v>Academic Support</v>
      </c>
      <c r="B41" s="20">
        <f t="shared" ref="B41:B44" si="23">G3</f>
        <v>0.4</v>
      </c>
      <c r="C41" s="14">
        <f t="shared" si="22"/>
        <v>0.4</v>
      </c>
      <c r="D41" s="14">
        <f t="shared" si="22"/>
        <v>0.4</v>
      </c>
      <c r="E41" s="14">
        <f t="shared" si="22"/>
        <v>0.4</v>
      </c>
      <c r="F41" s="14">
        <f t="shared" si="22"/>
        <v>0.4</v>
      </c>
      <c r="G41" s="14">
        <f t="shared" si="22"/>
        <v>0.4</v>
      </c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9" t="str">
        <f>Summary!$E15</f>
        <v>Student Affairs</v>
      </c>
      <c r="B42" s="20">
        <f t="shared" si="23"/>
        <v>0.4</v>
      </c>
      <c r="C42" s="14">
        <f t="shared" si="22"/>
        <v>0.4</v>
      </c>
      <c r="D42" s="14">
        <f t="shared" si="22"/>
        <v>0.4</v>
      </c>
      <c r="E42" s="14">
        <f t="shared" si="22"/>
        <v>0.4</v>
      </c>
      <c r="F42" s="14">
        <f t="shared" si="22"/>
        <v>0.4</v>
      </c>
      <c r="G42" s="14">
        <f t="shared" si="22"/>
        <v>0.4</v>
      </c>
      <c r="H42" s="11"/>
      <c r="I42" s="11"/>
      <c r="J42" s="11"/>
      <c r="K42" s="11"/>
      <c r="L42" s="11"/>
      <c r="M42" s="11"/>
      <c r="N42" s="11"/>
      <c r="O42" s="11"/>
    </row>
    <row r="43" spans="1:15" x14ac:dyDescent="0.25">
      <c r="A43" s="9" t="str">
        <f>Summary!$E16</f>
        <v>Administrative Support</v>
      </c>
      <c r="B43" s="20">
        <f t="shared" si="23"/>
        <v>0.4</v>
      </c>
      <c r="C43" s="14">
        <f t="shared" si="22"/>
        <v>0.4</v>
      </c>
      <c r="D43" s="14">
        <f t="shared" si="22"/>
        <v>0.4</v>
      </c>
      <c r="E43" s="14">
        <f t="shared" si="22"/>
        <v>0.4</v>
      </c>
      <c r="F43" s="14">
        <f t="shared" si="22"/>
        <v>0.4</v>
      </c>
      <c r="G43" s="14">
        <f t="shared" si="22"/>
        <v>0.4</v>
      </c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9" t="str">
        <f>Summary!$E17</f>
        <v>Plant Operations</v>
      </c>
      <c r="B44" s="20">
        <f t="shared" si="23"/>
        <v>0.4</v>
      </c>
      <c r="C44" s="14">
        <f t="shared" si="22"/>
        <v>0.4</v>
      </c>
      <c r="D44" s="14">
        <f t="shared" si="22"/>
        <v>0.4</v>
      </c>
      <c r="E44" s="14">
        <f t="shared" si="22"/>
        <v>0.4</v>
      </c>
      <c r="F44" s="14">
        <f t="shared" si="22"/>
        <v>0.4</v>
      </c>
      <c r="G44" s="14">
        <f t="shared" si="22"/>
        <v>0.4</v>
      </c>
      <c r="H44" s="11"/>
      <c r="I44" s="11"/>
      <c r="J44" s="11"/>
      <c r="K44" s="11"/>
      <c r="L44" s="11"/>
      <c r="M44" s="11"/>
      <c r="N44" s="11"/>
      <c r="O44" s="11"/>
    </row>
    <row r="45" spans="1:15" x14ac:dyDescent="0.25">
      <c r="A45" s="6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25">
      <c r="A46" s="25" t="s">
        <v>28</v>
      </c>
      <c r="B46" s="62">
        <f>Summary!$B$18+1</f>
        <v>2022</v>
      </c>
      <c r="C46" s="62">
        <f>B46+1</f>
        <v>2023</v>
      </c>
      <c r="D46" s="62">
        <f t="shared" ref="D46:F46" si="24">C46+1</f>
        <v>2024</v>
      </c>
      <c r="E46" s="62">
        <f t="shared" si="24"/>
        <v>2025</v>
      </c>
      <c r="F46" s="62">
        <f t="shared" si="24"/>
        <v>2026</v>
      </c>
      <c r="G46" s="62">
        <f>F46+1</f>
        <v>2027</v>
      </c>
      <c r="H46" s="11"/>
      <c r="I46" s="11"/>
      <c r="J46" s="11"/>
      <c r="K46" s="11"/>
      <c r="L46" s="11"/>
      <c r="M46" s="11"/>
      <c r="N46" s="11"/>
      <c r="O46" s="11"/>
    </row>
    <row r="47" spans="1:15" x14ac:dyDescent="0.25">
      <c r="A47" s="9" t="str">
        <f>Summary!$E13</f>
        <v>Instruction</v>
      </c>
      <c r="B47" s="4">
        <f>B39*B9*B21+B40*B13*B25</f>
        <v>3920000</v>
      </c>
      <c r="C47" s="4">
        <f t="shared" ref="C47:G47" si="25">C39*C9*C21+C40*C13*C25</f>
        <v>4037600</v>
      </c>
      <c r="D47" s="4">
        <f t="shared" si="25"/>
        <v>4158728</v>
      </c>
      <c r="E47" s="4">
        <f t="shared" si="25"/>
        <v>4283489.84</v>
      </c>
      <c r="F47" s="4">
        <f t="shared" si="25"/>
        <v>4411994.5352000007</v>
      </c>
      <c r="G47" s="4">
        <f t="shared" si="25"/>
        <v>4544354.3712560004</v>
      </c>
      <c r="H47" s="11"/>
      <c r="I47" s="11"/>
      <c r="J47" s="11"/>
      <c r="K47" s="11"/>
      <c r="L47" s="11"/>
      <c r="M47" s="11"/>
      <c r="N47" s="11"/>
      <c r="O47" s="11"/>
    </row>
    <row r="48" spans="1:15" x14ac:dyDescent="0.25">
      <c r="A48" s="9" t="str">
        <f>Summary!$E14</f>
        <v>Academic Support</v>
      </c>
      <c r="B48" s="6">
        <f>B41*B14*B26</f>
        <v>320000</v>
      </c>
      <c r="C48" s="6">
        <f t="shared" ref="C48:G48" si="26">C41*C14*C26</f>
        <v>329600</v>
      </c>
      <c r="D48" s="6">
        <f t="shared" si="26"/>
        <v>339488</v>
      </c>
      <c r="E48" s="6">
        <f t="shared" si="26"/>
        <v>349672.64</v>
      </c>
      <c r="F48" s="6">
        <f t="shared" si="26"/>
        <v>360162.81920000003</v>
      </c>
      <c r="G48" s="6">
        <f t="shared" si="26"/>
        <v>370967.70377600001</v>
      </c>
      <c r="H48" s="11"/>
      <c r="I48" s="11"/>
      <c r="J48" s="11"/>
      <c r="K48" s="11"/>
      <c r="L48" s="11"/>
      <c r="M48" s="11"/>
      <c r="N48" s="11"/>
      <c r="O48" s="11"/>
    </row>
    <row r="49" spans="1:15" x14ac:dyDescent="0.25">
      <c r="A49" s="9" t="str">
        <f>Summary!$E15</f>
        <v>Student Affairs</v>
      </c>
      <c r="B49" s="6">
        <f t="shared" ref="B49:G51" si="27">B42*B15*B27</f>
        <v>320000</v>
      </c>
      <c r="C49" s="6">
        <f t="shared" si="27"/>
        <v>329600</v>
      </c>
      <c r="D49" s="6">
        <f t="shared" si="27"/>
        <v>339488</v>
      </c>
      <c r="E49" s="6">
        <f t="shared" si="27"/>
        <v>349672.64</v>
      </c>
      <c r="F49" s="6">
        <f t="shared" si="27"/>
        <v>360162.81920000003</v>
      </c>
      <c r="G49" s="6">
        <f t="shared" si="27"/>
        <v>370967.70377600001</v>
      </c>
      <c r="H49" s="11"/>
      <c r="I49" s="11"/>
      <c r="J49" s="11"/>
      <c r="K49" s="11"/>
      <c r="L49" s="11"/>
      <c r="M49" s="11"/>
      <c r="N49" s="11"/>
      <c r="O49" s="11"/>
    </row>
    <row r="50" spans="1:15" x14ac:dyDescent="0.25">
      <c r="A50" s="9" t="str">
        <f>Summary!$E16</f>
        <v>Administrative Support</v>
      </c>
      <c r="B50" s="6">
        <f t="shared" si="27"/>
        <v>320000</v>
      </c>
      <c r="C50" s="6">
        <f t="shared" si="27"/>
        <v>329600</v>
      </c>
      <c r="D50" s="6">
        <f t="shared" si="27"/>
        <v>339488</v>
      </c>
      <c r="E50" s="6">
        <f t="shared" si="27"/>
        <v>349672.64</v>
      </c>
      <c r="F50" s="6">
        <f t="shared" si="27"/>
        <v>360162.81920000003</v>
      </c>
      <c r="G50" s="6">
        <f t="shared" si="27"/>
        <v>370967.70377600001</v>
      </c>
      <c r="H50" s="11"/>
      <c r="I50" s="11"/>
      <c r="J50" s="11"/>
      <c r="K50" s="11"/>
      <c r="L50" s="11"/>
      <c r="M50" s="11"/>
      <c r="N50" s="11"/>
      <c r="O50" s="11"/>
    </row>
    <row r="51" spans="1:15" x14ac:dyDescent="0.25">
      <c r="A51" s="9" t="str">
        <f>Summary!$E17</f>
        <v>Plant Operations</v>
      </c>
      <c r="B51" s="6">
        <f t="shared" si="27"/>
        <v>320000</v>
      </c>
      <c r="C51" s="6">
        <f t="shared" si="27"/>
        <v>329600</v>
      </c>
      <c r="D51" s="6">
        <f t="shared" si="27"/>
        <v>339488</v>
      </c>
      <c r="E51" s="6">
        <f t="shared" si="27"/>
        <v>349672.64</v>
      </c>
      <c r="F51" s="6">
        <f t="shared" si="27"/>
        <v>360162.81920000003</v>
      </c>
      <c r="G51" s="6">
        <f t="shared" si="27"/>
        <v>370967.70377600001</v>
      </c>
      <c r="H51" s="11"/>
      <c r="I51" s="11"/>
      <c r="J51" s="11"/>
      <c r="K51" s="11"/>
      <c r="L51" s="11"/>
      <c r="M51" s="11"/>
      <c r="N51" s="11"/>
      <c r="O51" s="11"/>
    </row>
    <row r="52" spans="1:15" x14ac:dyDescent="0.25">
      <c r="A52" s="60"/>
      <c r="B52" s="11"/>
      <c r="C52" s="11"/>
      <c r="D52" s="11"/>
      <c r="E52" s="11"/>
      <c r="F52" s="11"/>
      <c r="G52" s="11"/>
      <c r="H52" s="8" t="s">
        <v>48</v>
      </c>
      <c r="I52" s="11"/>
      <c r="J52" s="11"/>
      <c r="K52" s="11"/>
      <c r="L52" s="11"/>
      <c r="M52" s="11"/>
      <c r="N52" s="11"/>
      <c r="O52" s="11"/>
    </row>
    <row r="53" spans="1:15" x14ac:dyDescent="0.25">
      <c r="A53" s="25" t="s">
        <v>29</v>
      </c>
      <c r="B53" s="62">
        <f>Summary!$B$18+1</f>
        <v>2022</v>
      </c>
      <c r="C53" s="62">
        <f>B53+1</f>
        <v>2023</v>
      </c>
      <c r="D53" s="62">
        <f t="shared" ref="D53:F53" si="28">C53+1</f>
        <v>2024</v>
      </c>
      <c r="E53" s="62">
        <f t="shared" si="28"/>
        <v>2025</v>
      </c>
      <c r="F53" s="62">
        <f t="shared" si="28"/>
        <v>2026</v>
      </c>
      <c r="G53" s="62">
        <f>F53+1</f>
        <v>2027</v>
      </c>
      <c r="H53" s="47">
        <f>Summary!B11</f>
        <v>0</v>
      </c>
      <c r="I53" s="11"/>
      <c r="J53" s="11"/>
      <c r="K53" s="11"/>
      <c r="L53" s="11"/>
      <c r="M53" s="11"/>
      <c r="N53" s="11"/>
      <c r="O53" s="11"/>
    </row>
    <row r="54" spans="1:15" x14ac:dyDescent="0.25">
      <c r="A54" s="9" t="str">
        <f>Summary!$E13</f>
        <v>Instruction</v>
      </c>
      <c r="B54" s="6">
        <f>H2</f>
        <v>100000</v>
      </c>
      <c r="C54" s="6">
        <f>B54*(1+$H$53+$I$2)</f>
        <v>102000</v>
      </c>
      <c r="D54" s="6">
        <f t="shared" ref="D54:G54" si="29">C54*(1+$H$53+$I$2)</f>
        <v>104040</v>
      </c>
      <c r="E54" s="6">
        <f t="shared" si="29"/>
        <v>106120.8</v>
      </c>
      <c r="F54" s="6">
        <f t="shared" si="29"/>
        <v>108243.216</v>
      </c>
      <c r="G54" s="6">
        <f t="shared" si="29"/>
        <v>110408.08032000001</v>
      </c>
      <c r="H54" s="11"/>
      <c r="I54" s="11"/>
      <c r="J54" s="11"/>
      <c r="K54" s="11"/>
      <c r="L54" s="11"/>
      <c r="M54" s="11"/>
      <c r="N54" s="11"/>
      <c r="O54" s="11"/>
    </row>
    <row r="55" spans="1:15" x14ac:dyDescent="0.25">
      <c r="A55" s="9" t="str">
        <f>Summary!$E14</f>
        <v>Academic Support</v>
      </c>
      <c r="B55" s="6">
        <f t="shared" ref="B55:B58" si="30">H3</f>
        <v>100000</v>
      </c>
      <c r="C55" s="6">
        <f>B55*(1+$H$53+$I$2)</f>
        <v>102000</v>
      </c>
      <c r="D55" s="6">
        <f t="shared" ref="D55:G58" si="31">C55*(1+$H$53+$I$2)</f>
        <v>104040</v>
      </c>
      <c r="E55" s="6">
        <f t="shared" si="31"/>
        <v>106120.8</v>
      </c>
      <c r="F55" s="6">
        <f t="shared" si="31"/>
        <v>108243.216</v>
      </c>
      <c r="G55" s="6">
        <f t="shared" si="31"/>
        <v>110408.08032000001</v>
      </c>
      <c r="H55" s="11"/>
      <c r="I55" s="11"/>
      <c r="J55" s="11"/>
      <c r="K55" s="11"/>
      <c r="L55" s="11"/>
      <c r="M55" s="11"/>
      <c r="N55" s="11"/>
      <c r="O55" s="11"/>
    </row>
    <row r="56" spans="1:15" x14ac:dyDescent="0.25">
      <c r="A56" s="9" t="str">
        <f>Summary!$E15</f>
        <v>Student Affairs</v>
      </c>
      <c r="B56" s="6">
        <f t="shared" si="30"/>
        <v>100000</v>
      </c>
      <c r="C56" s="6">
        <f>B56*(1+$H$53+$I$2)</f>
        <v>102000</v>
      </c>
      <c r="D56" s="6">
        <f t="shared" si="31"/>
        <v>104040</v>
      </c>
      <c r="E56" s="6">
        <f t="shared" si="31"/>
        <v>106120.8</v>
      </c>
      <c r="F56" s="6">
        <f t="shared" si="31"/>
        <v>108243.216</v>
      </c>
      <c r="G56" s="6">
        <f t="shared" si="31"/>
        <v>110408.08032000001</v>
      </c>
      <c r="H56" s="11"/>
      <c r="I56" s="11"/>
      <c r="J56" s="11"/>
      <c r="K56" s="11"/>
      <c r="L56" s="11"/>
      <c r="M56" s="11"/>
      <c r="N56" s="11"/>
      <c r="O56" s="11"/>
    </row>
    <row r="57" spans="1:15" x14ac:dyDescent="0.25">
      <c r="A57" s="9" t="str">
        <f>Summary!$E16</f>
        <v>Administrative Support</v>
      </c>
      <c r="B57" s="6">
        <f t="shared" si="30"/>
        <v>100000</v>
      </c>
      <c r="C57" s="6">
        <f>B57*(1+$H$53+$I$2)</f>
        <v>102000</v>
      </c>
      <c r="D57" s="6">
        <f t="shared" si="31"/>
        <v>104040</v>
      </c>
      <c r="E57" s="6">
        <f t="shared" si="31"/>
        <v>106120.8</v>
      </c>
      <c r="F57" s="6">
        <f t="shared" si="31"/>
        <v>108243.216</v>
      </c>
      <c r="G57" s="6">
        <f t="shared" si="31"/>
        <v>110408.08032000001</v>
      </c>
      <c r="H57" s="11"/>
      <c r="I57" s="11"/>
      <c r="J57" s="11"/>
      <c r="K57" s="11"/>
      <c r="L57" s="11"/>
      <c r="M57" s="11"/>
      <c r="N57" s="11"/>
      <c r="O57" s="11"/>
    </row>
    <row r="58" spans="1:15" x14ac:dyDescent="0.25">
      <c r="A58" s="9" t="str">
        <f>Summary!$E17</f>
        <v>Plant Operations</v>
      </c>
      <c r="B58" s="6">
        <f t="shared" si="30"/>
        <v>500000</v>
      </c>
      <c r="C58" s="6">
        <f>B58*(1+$H$53+$I$2)</f>
        <v>510000</v>
      </c>
      <c r="D58" s="6">
        <f t="shared" si="31"/>
        <v>520200</v>
      </c>
      <c r="E58" s="6">
        <f t="shared" si="31"/>
        <v>530604</v>
      </c>
      <c r="F58" s="6">
        <f t="shared" si="31"/>
        <v>541216.07999999996</v>
      </c>
      <c r="G58" s="6">
        <f t="shared" si="31"/>
        <v>552040.40159999998</v>
      </c>
      <c r="H58" s="11"/>
      <c r="I58" s="11"/>
      <c r="J58" s="11"/>
      <c r="K58" s="11"/>
      <c r="L58" s="11"/>
      <c r="M58" s="11"/>
      <c r="N58" s="11"/>
      <c r="O58" s="11"/>
    </row>
    <row r="59" spans="1:15" x14ac:dyDescent="0.25">
      <c r="A59" s="6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x14ac:dyDescent="0.25">
      <c r="A60" s="25" t="s">
        <v>37</v>
      </c>
      <c r="B60" s="62">
        <f>Summary!$B$18+1</f>
        <v>2022</v>
      </c>
      <c r="C60" s="62">
        <f>B60+1</f>
        <v>2023</v>
      </c>
      <c r="D60" s="62">
        <f t="shared" ref="D60:G60" si="32">C60+1</f>
        <v>2024</v>
      </c>
      <c r="E60" s="62">
        <f t="shared" si="32"/>
        <v>2025</v>
      </c>
      <c r="F60" s="62">
        <f t="shared" si="32"/>
        <v>2026</v>
      </c>
      <c r="G60" s="62">
        <f t="shared" si="32"/>
        <v>2027</v>
      </c>
      <c r="H60" s="11"/>
      <c r="I60" s="11"/>
      <c r="J60" s="11"/>
      <c r="K60" s="11"/>
      <c r="L60" s="11"/>
      <c r="M60" s="11"/>
      <c r="N60" s="11"/>
      <c r="O60" s="11"/>
    </row>
    <row r="61" spans="1:15" x14ac:dyDescent="0.25">
      <c r="A61" s="9" t="str">
        <f>Summary!$E13</f>
        <v>Instruction</v>
      </c>
      <c r="B61" s="21">
        <f>B32+B47+B54</f>
        <v>13820000</v>
      </c>
      <c r="C61" s="21">
        <f t="shared" ref="C61:G61" si="33">C32+C47+C54</f>
        <v>14233600</v>
      </c>
      <c r="D61" s="21">
        <f t="shared" si="33"/>
        <v>14659588</v>
      </c>
      <c r="E61" s="21">
        <f t="shared" si="33"/>
        <v>15098335.24</v>
      </c>
      <c r="F61" s="21">
        <f t="shared" si="33"/>
        <v>15550224.089200003</v>
      </c>
      <c r="G61" s="21">
        <f t="shared" si="33"/>
        <v>16015648.379716001</v>
      </c>
      <c r="H61" s="11"/>
      <c r="I61" s="11"/>
      <c r="J61" s="11"/>
      <c r="K61" s="11"/>
      <c r="L61" s="11"/>
      <c r="M61" s="11"/>
      <c r="N61" s="11"/>
      <c r="O61" s="11"/>
    </row>
    <row r="62" spans="1:15" x14ac:dyDescent="0.25">
      <c r="A62" s="9" t="str">
        <f>Summary!$E14</f>
        <v>Academic Support</v>
      </c>
      <c r="B62" s="21">
        <f>B33+B48+B55</f>
        <v>1220000</v>
      </c>
      <c r="C62" s="21">
        <f t="shared" ref="C62:G65" si="34">C33+C48+C55</f>
        <v>1255600</v>
      </c>
      <c r="D62" s="21">
        <f t="shared" si="34"/>
        <v>1292248</v>
      </c>
      <c r="E62" s="21">
        <f t="shared" si="34"/>
        <v>1329975.0400000003</v>
      </c>
      <c r="F62" s="21">
        <f t="shared" si="34"/>
        <v>1368813.0832000002</v>
      </c>
      <c r="G62" s="21">
        <f t="shared" si="34"/>
        <v>1408795.043536</v>
      </c>
      <c r="H62" s="11"/>
      <c r="I62" s="11"/>
      <c r="J62" s="11"/>
      <c r="K62" s="11"/>
      <c r="L62" s="11"/>
      <c r="M62" s="11"/>
      <c r="N62" s="11"/>
      <c r="O62" s="11"/>
    </row>
    <row r="63" spans="1:15" x14ac:dyDescent="0.25">
      <c r="A63" s="9" t="str">
        <f>Summary!$E15</f>
        <v>Student Affairs</v>
      </c>
      <c r="B63" s="21">
        <f>B34+B49+B56</f>
        <v>1220000</v>
      </c>
      <c r="C63" s="21">
        <f t="shared" si="34"/>
        <v>1255600</v>
      </c>
      <c r="D63" s="21">
        <f t="shared" si="34"/>
        <v>1292248</v>
      </c>
      <c r="E63" s="21">
        <f t="shared" si="34"/>
        <v>1329975.0400000003</v>
      </c>
      <c r="F63" s="21">
        <f t="shared" si="34"/>
        <v>1368813.0832000002</v>
      </c>
      <c r="G63" s="21">
        <f t="shared" si="34"/>
        <v>1408795.043536</v>
      </c>
      <c r="H63" s="11"/>
      <c r="I63" s="11"/>
      <c r="J63" s="11"/>
      <c r="K63" s="11"/>
      <c r="L63" s="11"/>
      <c r="M63" s="11"/>
      <c r="N63" s="11"/>
      <c r="O63" s="11"/>
    </row>
    <row r="64" spans="1:15" x14ac:dyDescent="0.25">
      <c r="A64" s="9" t="str">
        <f>Summary!$E16</f>
        <v>Administrative Support</v>
      </c>
      <c r="B64" s="21">
        <f>B35+B50+B57</f>
        <v>1220000</v>
      </c>
      <c r="C64" s="21">
        <f t="shared" si="34"/>
        <v>1255600</v>
      </c>
      <c r="D64" s="21">
        <f t="shared" si="34"/>
        <v>1292248</v>
      </c>
      <c r="E64" s="21">
        <f t="shared" si="34"/>
        <v>1329975.0400000003</v>
      </c>
      <c r="F64" s="21">
        <f t="shared" si="34"/>
        <v>1368813.0832000002</v>
      </c>
      <c r="G64" s="21">
        <f t="shared" si="34"/>
        <v>1408795.043536</v>
      </c>
      <c r="H64" s="11"/>
      <c r="I64" s="11"/>
      <c r="J64" s="11"/>
      <c r="K64" s="11"/>
      <c r="L64" s="11"/>
      <c r="M64" s="11"/>
      <c r="N64" s="11"/>
      <c r="O64" s="11"/>
    </row>
    <row r="65" spans="1:15" x14ac:dyDescent="0.25">
      <c r="A65" s="9" t="str">
        <f>Summary!$E17</f>
        <v>Plant Operations</v>
      </c>
      <c r="B65" s="22">
        <f>B36+B51+B58</f>
        <v>1620000</v>
      </c>
      <c r="C65" s="22">
        <f t="shared" si="34"/>
        <v>1663600</v>
      </c>
      <c r="D65" s="22">
        <f t="shared" si="34"/>
        <v>1708408</v>
      </c>
      <c r="E65" s="22">
        <f t="shared" si="34"/>
        <v>1754458.2400000002</v>
      </c>
      <c r="F65" s="22">
        <f t="shared" si="34"/>
        <v>1801785.9472000003</v>
      </c>
      <c r="G65" s="22">
        <f t="shared" si="34"/>
        <v>1850427.364816</v>
      </c>
      <c r="H65" s="11"/>
      <c r="I65" s="11"/>
      <c r="J65" s="11"/>
      <c r="K65" s="11"/>
      <c r="L65" s="11"/>
      <c r="M65" s="11"/>
      <c r="N65" s="11"/>
      <c r="O65" s="11"/>
    </row>
    <row r="66" spans="1:15" x14ac:dyDescent="0.25">
      <c r="A66" s="71" t="str">
        <f>Summary!$E18</f>
        <v xml:space="preserve">Total Expenses           </v>
      </c>
      <c r="B66" s="6">
        <f>SUM(B61:B65)</f>
        <v>19100000</v>
      </c>
      <c r="C66" s="6">
        <f t="shared" ref="C66:G66" si="35">SUM(C61:C65)</f>
        <v>19664000</v>
      </c>
      <c r="D66" s="6">
        <f t="shared" si="35"/>
        <v>20244740</v>
      </c>
      <c r="E66" s="6">
        <f t="shared" si="35"/>
        <v>20842718.600000001</v>
      </c>
      <c r="F66" s="6">
        <f t="shared" si="35"/>
        <v>21458449.286000006</v>
      </c>
      <c r="G66" s="6">
        <f t="shared" si="35"/>
        <v>22092460.87514</v>
      </c>
      <c r="H66" s="11"/>
      <c r="I66" s="11"/>
      <c r="J66" s="11"/>
      <c r="K66" s="11"/>
      <c r="L66" s="11"/>
      <c r="M66" s="11"/>
      <c r="N66" s="11"/>
      <c r="O66" s="11"/>
    </row>
    <row r="67" spans="1:15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D46D-11E2-43F1-8AF2-3AA138B92D1A}">
  <dimension ref="A1:Q59"/>
  <sheetViews>
    <sheetView workbookViewId="0"/>
  </sheetViews>
  <sheetFormatPr defaultRowHeight="15" x14ac:dyDescent="0.25"/>
  <cols>
    <col min="1" max="1" width="28.85546875" customWidth="1"/>
    <col min="2" max="7" width="14" customWidth="1"/>
  </cols>
  <sheetData>
    <row r="1" spans="1:17" x14ac:dyDescent="0.25">
      <c r="A1" s="57" t="str">
        <f>Summary!A1</f>
        <v>Pine Needle College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25">
      <c r="A2" s="77" t="str">
        <f>Summary!E3</f>
        <v>Year Ending:</v>
      </c>
      <c r="B2" s="80">
        <f>Summary!F3</f>
        <v>2022</v>
      </c>
      <c r="C2" s="80">
        <f>Summary!G3</f>
        <v>2023</v>
      </c>
      <c r="D2" s="80">
        <f>Summary!H3</f>
        <v>2024</v>
      </c>
      <c r="E2" s="80">
        <f>Summary!I3</f>
        <v>2025</v>
      </c>
      <c r="F2" s="80">
        <f>Summary!J3</f>
        <v>2026</v>
      </c>
      <c r="G2" s="80">
        <f>Summary!K3</f>
        <v>2027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5">
      <c r="A3" s="7" t="s">
        <v>79</v>
      </c>
      <c r="B3" s="78">
        <f>Enrollment!C7/Staffing!B9</f>
        <v>12</v>
      </c>
      <c r="C3" s="78">
        <f>Enrollment!D7/Staffing!C9</f>
        <v>11.61</v>
      </c>
      <c r="D3" s="78">
        <f>Enrollment!E7/Staffing!D9</f>
        <v>11.423250000000001</v>
      </c>
      <c r="E3" s="78">
        <f>Enrollment!F7/Staffing!E9</f>
        <v>11.373113249999999</v>
      </c>
      <c r="F3" s="78">
        <f>Enrollment!G7/Staffing!F9</f>
        <v>11.41530535125</v>
      </c>
      <c r="G3" s="78">
        <f>Enrollment!H7/Staffing!G9</f>
        <v>11.520406799381249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x14ac:dyDescent="0.25">
      <c r="A4" s="7" t="s">
        <v>81</v>
      </c>
      <c r="B4" s="78">
        <f>Enrollment!C7/Staffing!B9</f>
        <v>12</v>
      </c>
      <c r="C4" s="78">
        <f>Enrollment!D7/Staffing!C9</f>
        <v>11.61</v>
      </c>
      <c r="D4" s="78">
        <f>Enrollment!E7/Staffing!D9</f>
        <v>11.423250000000001</v>
      </c>
      <c r="E4" s="78">
        <f>Enrollment!F7/Staffing!E9</f>
        <v>11.373113249999999</v>
      </c>
      <c r="F4" s="78">
        <f>Enrollment!G7/Staffing!F9</f>
        <v>11.41530535125</v>
      </c>
      <c r="G4" s="78">
        <f>Enrollment!H7/Staffing!G9</f>
        <v>11.520406799381249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x14ac:dyDescent="0.25">
      <c r="A5" s="7" t="s">
        <v>80</v>
      </c>
      <c r="B5" s="78">
        <f>Enrollment!C7/Staffing!B18</f>
        <v>12</v>
      </c>
      <c r="C5" s="78">
        <f>Enrollment!D7/Staffing!C18</f>
        <v>11.61</v>
      </c>
      <c r="D5" s="78">
        <f>Enrollment!E7/Staffing!D18</f>
        <v>11.423250000000001</v>
      </c>
      <c r="E5" s="78">
        <f>Enrollment!F7/Staffing!E18</f>
        <v>11.373113249999999</v>
      </c>
      <c r="F5" s="78">
        <f>Enrollment!G7/Staffing!F18</f>
        <v>11.41530535125</v>
      </c>
      <c r="G5" s="78">
        <f>Enrollment!H7/Staffing!G18</f>
        <v>11.520406799381249</v>
      </c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x14ac:dyDescent="0.25">
      <c r="A6" s="7" t="s">
        <v>76</v>
      </c>
      <c r="B6" s="78">
        <f>Staffing!B9/Staffing!B18</f>
        <v>1</v>
      </c>
      <c r="C6" s="78">
        <f>Staffing!C9/Staffing!C18</f>
        <v>1</v>
      </c>
      <c r="D6" s="78">
        <f>Staffing!D9/Staffing!D18</f>
        <v>1</v>
      </c>
      <c r="E6" s="78">
        <f>Staffing!E9/Staffing!E18</f>
        <v>1</v>
      </c>
      <c r="F6" s="78">
        <f>Staffing!F9/Staffing!F18</f>
        <v>1</v>
      </c>
      <c r="G6" s="78">
        <f>Staffing!G9/Staffing!G18</f>
        <v>1</v>
      </c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x14ac:dyDescent="0.25">
      <c r="A7" s="7" t="s">
        <v>77</v>
      </c>
      <c r="B7" s="79">
        <f>Summary!F18/Enrollment!C7</f>
        <v>15916.666666666666</v>
      </c>
      <c r="C7" s="79">
        <f>Summary!G18/Enrollment!C8</f>
        <v>16386.666666666668</v>
      </c>
      <c r="D7" s="79">
        <f>Summary!H18/Enrollment!D7</f>
        <v>17437.329888027562</v>
      </c>
      <c r="E7" s="79">
        <f>Summary!I18/Enrollment!D8</f>
        <v>17903.808443929047</v>
      </c>
      <c r="F7" s="79">
        <f>Summary!J18/Enrollment!E7</f>
        <v>18784.889839581559</v>
      </c>
      <c r="G7" s="79">
        <f>Summary!K18/Enrollment!E8</f>
        <v>19250.46220155359</v>
      </c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x14ac:dyDescent="0.25">
      <c r="A8" s="7" t="s">
        <v>78</v>
      </c>
      <c r="B8" s="44">
        <f>Summary!F20/Summary!F10</f>
        <v>3.242147922998987E-2</v>
      </c>
      <c r="C8" s="44">
        <f>Summary!G20/Summary!G10</f>
        <v>3.2666949504865789E-3</v>
      </c>
      <c r="D8" s="44">
        <f>Summary!H20/Summary!H10</f>
        <v>-1.2796314132104306E-2</v>
      </c>
      <c r="E8" s="44">
        <f>Summary!I20/Summary!I10</f>
        <v>-1.9909272605153346E-2</v>
      </c>
      <c r="F8" s="44">
        <f>Summary!J20/Summary!J10</f>
        <v>-2.147849827433158E-2</v>
      </c>
      <c r="G8" s="44">
        <f>Summary!K20/Summary!K10</f>
        <v>-2.010200347976171E-2</v>
      </c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7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7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1:17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1:17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1:17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17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1:17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Enrollment</vt:lpstr>
      <vt:lpstr>Staffing</vt:lpstr>
      <vt:lpstr>KPIs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Dickmeyer</dc:creator>
  <cp:lastModifiedBy>Nathan Dickmeyer</cp:lastModifiedBy>
  <dcterms:created xsi:type="dcterms:W3CDTF">2021-02-18T21:10:06Z</dcterms:created>
  <dcterms:modified xsi:type="dcterms:W3CDTF">2022-01-21T20:06:23Z</dcterms:modified>
</cp:coreProperties>
</file>