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Modeling Book\Spreadsheets\Final Final Final Final\"/>
    </mc:Choice>
  </mc:AlternateContent>
  <xr:revisionPtr revIDLastSave="0" documentId="13_ncr:1_{351FAED1-A11F-4145-8881-114B8C5BCFDB}" xr6:coauthVersionLast="47" xr6:coauthVersionMax="47" xr10:uidLastSave="{00000000-0000-0000-0000-000000000000}"/>
  <bookViews>
    <workbookView xWindow="-120" yWindow="-120" windowWidth="19440" windowHeight="14880" xr2:uid="{B379CA02-A9A6-4AA7-B58B-D86B40358E46}"/>
  </bookViews>
  <sheets>
    <sheet name="Summary" sheetId="1" r:id="rId1"/>
    <sheet name="Enrollment" sheetId="2" r:id="rId2"/>
    <sheet name="Staffing" sheetId="3" r:id="rId3"/>
    <sheet name="KP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D3" i="4"/>
  <c r="E3" i="4"/>
  <c r="F3" i="4"/>
  <c r="G3" i="4"/>
  <c r="B3" i="4"/>
  <c r="C94" i="2"/>
  <c r="C92" i="2"/>
  <c r="B81" i="2"/>
  <c r="C7" i="4"/>
  <c r="D7" i="4"/>
  <c r="E7" i="4"/>
  <c r="F7" i="4"/>
  <c r="G7" i="4"/>
  <c r="B7" i="4"/>
  <c r="D50" i="2"/>
  <c r="E50" i="2"/>
  <c r="F50" i="2"/>
  <c r="G50" i="2"/>
  <c r="H50" i="2"/>
  <c r="C50" i="2"/>
  <c r="D49" i="2"/>
  <c r="E49" i="2"/>
  <c r="F49" i="2"/>
  <c r="G49" i="2"/>
  <c r="H49" i="2"/>
  <c r="D43" i="2"/>
  <c r="E43" i="2"/>
  <c r="F43" i="2"/>
  <c r="G43" i="2"/>
  <c r="H43" i="2"/>
  <c r="D44" i="2"/>
  <c r="E44" i="2"/>
  <c r="F44" i="2"/>
  <c r="G44" i="2"/>
  <c r="H44" i="2"/>
  <c r="D45" i="2"/>
  <c r="E45" i="2"/>
  <c r="F45" i="2"/>
  <c r="G45" i="2"/>
  <c r="H45" i="2"/>
  <c r="D46" i="2"/>
  <c r="E46" i="2"/>
  <c r="F46" i="2"/>
  <c r="G46" i="2"/>
  <c r="H46" i="2"/>
  <c r="C49" i="2"/>
  <c r="C46" i="2"/>
  <c r="C44" i="2"/>
  <c r="C45" i="2"/>
  <c r="C43" i="2"/>
  <c r="C14" i="2"/>
  <c r="C58" i="2"/>
  <c r="C56" i="2"/>
  <c r="C54" i="2"/>
  <c r="B59" i="2"/>
  <c r="B57" i="2"/>
  <c r="B55" i="2"/>
  <c r="B53" i="2"/>
  <c r="B72" i="2"/>
  <c r="H48" i="2"/>
  <c r="C28" i="2"/>
  <c r="B39" i="2"/>
  <c r="B37" i="2"/>
  <c r="B33" i="2"/>
  <c r="B29" i="2"/>
  <c r="B26" i="2"/>
  <c r="B24" i="2"/>
  <c r="C18" i="2"/>
  <c r="C20" i="2"/>
  <c r="C16" i="2"/>
  <c r="B21" i="2"/>
  <c r="B19" i="2"/>
  <c r="B17" i="2"/>
  <c r="B15" i="2"/>
  <c r="D2" i="2"/>
  <c r="D72" i="2" s="1"/>
  <c r="E2" i="2"/>
  <c r="E72" i="2" s="1"/>
  <c r="F2" i="2"/>
  <c r="F72" i="2" s="1"/>
  <c r="G2" i="2"/>
  <c r="G72" i="2" s="1"/>
  <c r="H2" i="2"/>
  <c r="H72" i="2" s="1"/>
  <c r="C2" i="2"/>
  <c r="C72" i="2" s="1"/>
  <c r="B31" i="2" l="1"/>
  <c r="A26" i="2" l="1"/>
  <c r="A24" i="2"/>
  <c r="A21" i="2"/>
  <c r="A19" i="2"/>
  <c r="A17" i="2"/>
  <c r="A15" i="2"/>
  <c r="C11" i="2"/>
  <c r="C6" i="4"/>
  <c r="D6" i="4"/>
  <c r="E6" i="4"/>
  <c r="F6" i="4"/>
  <c r="G6" i="4"/>
  <c r="B6" i="4"/>
  <c r="G2" i="4"/>
  <c r="F2" i="4"/>
  <c r="E2" i="4"/>
  <c r="D2" i="4"/>
  <c r="C2" i="4"/>
  <c r="B2" i="4"/>
  <c r="A1" i="4"/>
  <c r="B108" i="2" l="1"/>
  <c r="D108" i="2" s="1"/>
  <c r="G8" i="1" s="1"/>
  <c r="B106" i="2"/>
  <c r="D106" i="2" s="1"/>
  <c r="C105" i="2"/>
  <c r="D105" i="2" s="1"/>
  <c r="E105" i="2" s="1"/>
  <c r="F105" i="2" s="1"/>
  <c r="G105" i="2" s="1"/>
  <c r="H105" i="2" s="1"/>
  <c r="F7" i="1"/>
  <c r="F8" i="1"/>
  <c r="C73" i="2"/>
  <c r="I36" i="3"/>
  <c r="G7" i="1" l="1"/>
  <c r="E106" i="2"/>
  <c r="F106" i="2" s="1"/>
  <c r="G106" i="2" s="1"/>
  <c r="H106" i="2" s="1"/>
  <c r="E108" i="2"/>
  <c r="F108" i="2" s="1"/>
  <c r="G108" i="2" s="1"/>
  <c r="H108" i="2" s="1"/>
  <c r="B34" i="2"/>
  <c r="H10" i="3"/>
  <c r="A1" i="3"/>
  <c r="A1" i="2"/>
  <c r="C11" i="3"/>
  <c r="D11" i="3" s="1"/>
  <c r="E11" i="3" s="1"/>
  <c r="F11" i="3" s="1"/>
  <c r="G11" i="3" s="1"/>
  <c r="I51" i="3"/>
  <c r="J51" i="3" s="1"/>
  <c r="K51" i="3" s="1"/>
  <c r="L51" i="3" s="1"/>
  <c r="M51" i="3" s="1"/>
  <c r="N51" i="3" s="1"/>
  <c r="O43" i="3"/>
  <c r="I43" i="3"/>
  <c r="J43" i="3" s="1"/>
  <c r="K43" i="3" s="1"/>
  <c r="L43" i="3" s="1"/>
  <c r="M43" i="3" s="1"/>
  <c r="N43" i="3" s="1"/>
  <c r="I35" i="3"/>
  <c r="J35" i="3" s="1"/>
  <c r="K35" i="3" s="1"/>
  <c r="L35" i="3" s="1"/>
  <c r="M35" i="3" s="1"/>
  <c r="N35" i="3" s="1"/>
  <c r="O28" i="3"/>
  <c r="O24" i="3"/>
  <c r="H28" i="3"/>
  <c r="I24" i="3"/>
  <c r="I23" i="3"/>
  <c r="J23" i="3" s="1"/>
  <c r="K23" i="3" s="1"/>
  <c r="L23" i="3" s="1"/>
  <c r="M23" i="3" s="1"/>
  <c r="N23" i="3" s="1"/>
  <c r="I32" i="3"/>
  <c r="I31" i="3"/>
  <c r="I39" i="3" s="1"/>
  <c r="I30" i="3"/>
  <c r="I29" i="3"/>
  <c r="I28" i="3"/>
  <c r="I27" i="3"/>
  <c r="J27" i="3" s="1"/>
  <c r="K27" i="3" s="1"/>
  <c r="L27" i="3" s="1"/>
  <c r="M27" i="3" s="1"/>
  <c r="N27" i="3" s="1"/>
  <c r="H24" i="3"/>
  <c r="O14" i="3"/>
  <c r="I19" i="3"/>
  <c r="I40" i="3" s="1"/>
  <c r="I18" i="3"/>
  <c r="I17" i="3"/>
  <c r="I38" i="3" s="1"/>
  <c r="I16" i="3"/>
  <c r="I15" i="3"/>
  <c r="I14" i="3"/>
  <c r="J14" i="3" s="1"/>
  <c r="K14" i="3" s="1"/>
  <c r="L14" i="3" s="1"/>
  <c r="M14" i="3" s="1"/>
  <c r="N14" i="3" s="1"/>
  <c r="O10" i="3"/>
  <c r="I9" i="3"/>
  <c r="J9" i="3" s="1"/>
  <c r="K9" i="3" s="1"/>
  <c r="L9" i="3" s="1"/>
  <c r="M9" i="3" s="1"/>
  <c r="N9" i="3" s="1"/>
  <c r="B9" i="3"/>
  <c r="C9" i="3" s="1"/>
  <c r="D9" i="3" s="1"/>
  <c r="E9" i="3" s="1"/>
  <c r="F9" i="3" s="1"/>
  <c r="G9" i="3" s="1"/>
  <c r="I11" i="3"/>
  <c r="J11" i="3" s="1"/>
  <c r="K11" i="3" s="1"/>
  <c r="L11" i="3" s="1"/>
  <c r="M11" i="3" s="1"/>
  <c r="N11" i="3" s="1"/>
  <c r="I10" i="3"/>
  <c r="N3" i="3"/>
  <c r="N6" i="3" s="1"/>
  <c r="I48" i="3" s="1"/>
  <c r="I55" i="3" s="1"/>
  <c r="K3" i="3"/>
  <c r="I44" i="3" s="1"/>
  <c r="J4" i="3"/>
  <c r="I25" i="3" s="1"/>
  <c r="C4" i="3"/>
  <c r="B25" i="3" s="1"/>
  <c r="A10" i="3"/>
  <c r="B11" i="3"/>
  <c r="C86" i="2"/>
  <c r="C87" i="2" s="1"/>
  <c r="B86" i="2"/>
  <c r="B88" i="2" s="1"/>
  <c r="C84" i="2"/>
  <c r="C82" i="2"/>
  <c r="B83" i="2"/>
  <c r="E1" i="2"/>
  <c r="D7" i="2" s="1"/>
  <c r="D56" i="2" s="1"/>
  <c r="B66" i="2"/>
  <c r="C70" i="2"/>
  <c r="C68" i="2"/>
  <c r="B67" i="2"/>
  <c r="C52" i="2"/>
  <c r="C38" i="2"/>
  <c r="C36" i="2"/>
  <c r="C32" i="2"/>
  <c r="C25" i="2"/>
  <c r="C23" i="2"/>
  <c r="C4" i="2"/>
  <c r="C53" i="2" s="1"/>
  <c r="B30" i="2"/>
  <c r="A25" i="2"/>
  <c r="A23" i="2"/>
  <c r="A16" i="2"/>
  <c r="A18" i="2"/>
  <c r="A20" i="2"/>
  <c r="A14" i="2"/>
  <c r="B14" i="3"/>
  <c r="C14" i="3" s="1"/>
  <c r="D14" i="3" s="1"/>
  <c r="E14" i="3" s="1"/>
  <c r="F14" i="3" s="1"/>
  <c r="G14" i="3" s="1"/>
  <c r="B10" i="3"/>
  <c r="H43" i="3"/>
  <c r="B43" i="3"/>
  <c r="C43" i="3" s="1"/>
  <c r="D43" i="3" s="1"/>
  <c r="E43" i="3" s="1"/>
  <c r="F43" i="3" s="1"/>
  <c r="G43" i="3" s="1"/>
  <c r="B35" i="3"/>
  <c r="C35" i="3" s="1"/>
  <c r="D35" i="3" s="1"/>
  <c r="E35" i="3" s="1"/>
  <c r="F35" i="3" s="1"/>
  <c r="G35" i="3" s="1"/>
  <c r="A47" i="3"/>
  <c r="A48" i="3"/>
  <c r="A49" i="3"/>
  <c r="A46" i="3"/>
  <c r="A37" i="3"/>
  <c r="B65" i="3"/>
  <c r="C65" i="3" s="1"/>
  <c r="D65" i="3" s="1"/>
  <c r="E65" i="3" s="1"/>
  <c r="F65" i="3" s="1"/>
  <c r="G65" i="3" s="1"/>
  <c r="B58" i="3"/>
  <c r="C58" i="3" s="1"/>
  <c r="D58" i="3" s="1"/>
  <c r="E58" i="3" s="1"/>
  <c r="F58" i="3" s="1"/>
  <c r="G58" i="3" s="1"/>
  <c r="B51" i="3"/>
  <c r="C51" i="3" s="1"/>
  <c r="D51" i="3" s="1"/>
  <c r="E51" i="3" s="1"/>
  <c r="F51" i="3" s="1"/>
  <c r="G51" i="3" s="1"/>
  <c r="B27" i="3"/>
  <c r="C27" i="3" s="1"/>
  <c r="D27" i="3" s="1"/>
  <c r="E27" i="3" s="1"/>
  <c r="F27" i="3" s="1"/>
  <c r="G27" i="3" s="1"/>
  <c r="B23" i="3"/>
  <c r="C23" i="3" s="1"/>
  <c r="D23" i="3" s="1"/>
  <c r="E23" i="3" s="1"/>
  <c r="F23" i="3" s="1"/>
  <c r="G23" i="3" s="1"/>
  <c r="F11" i="1"/>
  <c r="G11" i="1" s="1"/>
  <c r="H11" i="1" s="1"/>
  <c r="I11" i="1" s="1"/>
  <c r="J11" i="1" s="1"/>
  <c r="K11" i="1" s="1"/>
  <c r="A67" i="3"/>
  <c r="A68" i="3"/>
  <c r="A69" i="3"/>
  <c r="A70" i="3"/>
  <c r="A71" i="3"/>
  <c r="A66" i="3"/>
  <c r="A59" i="3"/>
  <c r="H58" i="3"/>
  <c r="B60" i="3"/>
  <c r="B61" i="3"/>
  <c r="B62" i="3"/>
  <c r="B63" i="3"/>
  <c r="B59" i="3"/>
  <c r="B29" i="3"/>
  <c r="B30" i="3"/>
  <c r="B31" i="3"/>
  <c r="B32" i="3"/>
  <c r="B28" i="3"/>
  <c r="P3" i="3"/>
  <c r="H14" i="3"/>
  <c r="B24" i="3"/>
  <c r="A29" i="3"/>
  <c r="A30" i="3"/>
  <c r="A31" i="3"/>
  <c r="A32" i="3"/>
  <c r="A28" i="3"/>
  <c r="A24" i="3"/>
  <c r="A25" i="3"/>
  <c r="A38" i="3"/>
  <c r="A39" i="3"/>
  <c r="A40" i="3"/>
  <c r="A53" i="3"/>
  <c r="A54" i="3"/>
  <c r="A55" i="3"/>
  <c r="A56" i="3"/>
  <c r="A60" i="3"/>
  <c r="A61" i="3"/>
  <c r="A62" i="3"/>
  <c r="A63" i="3"/>
  <c r="A52" i="3"/>
  <c r="A36" i="3"/>
  <c r="A15" i="3"/>
  <c r="A16" i="3"/>
  <c r="A17" i="3"/>
  <c r="A18" i="3"/>
  <c r="A19" i="3"/>
  <c r="A11" i="3"/>
  <c r="B16" i="3"/>
  <c r="B17" i="3"/>
  <c r="B18" i="3"/>
  <c r="B19" i="3"/>
  <c r="B15" i="3"/>
  <c r="G3" i="3"/>
  <c r="G6" i="3" s="1"/>
  <c r="B48" i="3" s="1"/>
  <c r="D3" i="3"/>
  <c r="B44" i="3" s="1"/>
  <c r="F3" i="1"/>
  <c r="B69" i="2" l="1"/>
  <c r="D69" i="2" s="1"/>
  <c r="E69" i="2" s="1"/>
  <c r="F69" i="2" s="1"/>
  <c r="G69" i="2" s="1"/>
  <c r="H69" i="2" s="1"/>
  <c r="D67" i="2"/>
  <c r="E7" i="2"/>
  <c r="E56" i="2" s="1"/>
  <c r="D18" i="2"/>
  <c r="D32" i="2"/>
  <c r="C34" i="2"/>
  <c r="C10" i="2" s="1"/>
  <c r="C59" i="2" s="1"/>
  <c r="B35" i="2"/>
  <c r="D34" i="2"/>
  <c r="C30" i="2"/>
  <c r="C6" i="2" s="1"/>
  <c r="C55" i="2" s="1"/>
  <c r="C15" i="2"/>
  <c r="C29" i="2"/>
  <c r="C31" i="2"/>
  <c r="C60" i="2"/>
  <c r="H8" i="1"/>
  <c r="C75" i="2"/>
  <c r="C77" i="2" s="1"/>
  <c r="H7" i="1"/>
  <c r="J10" i="3"/>
  <c r="K10" i="3" s="1"/>
  <c r="L10" i="3" s="1"/>
  <c r="M10" i="3" s="1"/>
  <c r="N10" i="3" s="1"/>
  <c r="J48" i="3"/>
  <c r="J44" i="3"/>
  <c r="I37" i="3"/>
  <c r="B37" i="3"/>
  <c r="C10" i="3"/>
  <c r="D10" i="3" s="1"/>
  <c r="E10" i="3" s="1"/>
  <c r="J25" i="3"/>
  <c r="J24" i="3"/>
  <c r="K24" i="3" s="1"/>
  <c r="L24" i="3" s="1"/>
  <c r="M24" i="3" s="1"/>
  <c r="N24" i="3" s="1"/>
  <c r="I45" i="3"/>
  <c r="J45" i="3" s="1"/>
  <c r="K45" i="3" s="1"/>
  <c r="L45" i="3" s="1"/>
  <c r="M45" i="3" s="1"/>
  <c r="N45" i="3" s="1"/>
  <c r="J28" i="3"/>
  <c r="K28" i="3" s="1"/>
  <c r="L28" i="3" s="1"/>
  <c r="M28" i="3" s="1"/>
  <c r="N28" i="3" s="1"/>
  <c r="J30" i="3"/>
  <c r="K30" i="3" s="1"/>
  <c r="L30" i="3" s="1"/>
  <c r="M30" i="3" s="1"/>
  <c r="N30" i="3" s="1"/>
  <c r="J32" i="3"/>
  <c r="K32" i="3" s="1"/>
  <c r="L32" i="3" s="1"/>
  <c r="M32" i="3" s="1"/>
  <c r="N32" i="3" s="1"/>
  <c r="J31" i="3"/>
  <c r="K31" i="3" s="1"/>
  <c r="L31" i="3" s="1"/>
  <c r="M31" i="3" s="1"/>
  <c r="N31" i="3" s="1"/>
  <c r="J29" i="3"/>
  <c r="K29" i="3" s="1"/>
  <c r="L29" i="3" s="1"/>
  <c r="M29" i="3" s="1"/>
  <c r="N29" i="3" s="1"/>
  <c r="C25" i="3"/>
  <c r="D25" i="3" s="1"/>
  <c r="E25" i="3" s="1"/>
  <c r="F25" i="3" s="1"/>
  <c r="G25" i="3" s="1"/>
  <c r="I20" i="3"/>
  <c r="J17" i="3" s="1"/>
  <c r="N7" i="3"/>
  <c r="I49" i="3" s="1"/>
  <c r="N5" i="3"/>
  <c r="I47" i="3" s="1"/>
  <c r="B55" i="3"/>
  <c r="N4" i="3"/>
  <c r="I46" i="3" s="1"/>
  <c r="B39" i="3"/>
  <c r="D81" i="2"/>
  <c r="D82" i="2" s="1"/>
  <c r="E81" i="2" s="1"/>
  <c r="E82" i="2" s="1"/>
  <c r="F81" i="2" s="1"/>
  <c r="F82" i="2" s="1"/>
  <c r="G81" i="2" s="1"/>
  <c r="G82" i="2" s="1"/>
  <c r="H81" i="2" s="1"/>
  <c r="H82" i="2" s="1"/>
  <c r="D86" i="2"/>
  <c r="D83" i="2"/>
  <c r="D84" i="2" s="1"/>
  <c r="E83" i="2" s="1"/>
  <c r="E84" i="2" s="1"/>
  <c r="F83" i="2" s="1"/>
  <c r="F84" i="2" s="1"/>
  <c r="G83" i="2" s="1"/>
  <c r="G84" i="2" s="1"/>
  <c r="H83" i="2" s="1"/>
  <c r="H84" i="2" s="1"/>
  <c r="C88" i="2"/>
  <c r="B45" i="3"/>
  <c r="C45" i="3" s="1"/>
  <c r="D45" i="3" s="1"/>
  <c r="E45" i="3" s="1"/>
  <c r="F45" i="3" s="1"/>
  <c r="G45" i="3" s="1"/>
  <c r="D3" i="2"/>
  <c r="B7" i="2"/>
  <c r="C8" i="2"/>
  <c r="C48" i="3"/>
  <c r="C44" i="3"/>
  <c r="B40" i="3"/>
  <c r="B38" i="3"/>
  <c r="C63" i="3"/>
  <c r="D63" i="3" s="1"/>
  <c r="E63" i="3" s="1"/>
  <c r="F63" i="3" s="1"/>
  <c r="G63" i="3" s="1"/>
  <c r="B36" i="3"/>
  <c r="C62" i="3"/>
  <c r="D62" i="3" s="1"/>
  <c r="E62" i="3" s="1"/>
  <c r="F62" i="3" s="1"/>
  <c r="G62" i="3" s="1"/>
  <c r="C24" i="3"/>
  <c r="D24" i="3" s="1"/>
  <c r="E24" i="3" s="1"/>
  <c r="F24" i="3" s="1"/>
  <c r="G24" i="3" s="1"/>
  <c r="C30" i="3"/>
  <c r="D30" i="3" s="1"/>
  <c r="E30" i="3" s="1"/>
  <c r="F30" i="3" s="1"/>
  <c r="G30" i="3" s="1"/>
  <c r="C29" i="3"/>
  <c r="D29" i="3" s="1"/>
  <c r="E29" i="3" s="1"/>
  <c r="F29" i="3" s="1"/>
  <c r="G29" i="3" s="1"/>
  <c r="C60" i="3"/>
  <c r="D60" i="3" s="1"/>
  <c r="E60" i="3" s="1"/>
  <c r="F60" i="3" s="1"/>
  <c r="G60" i="3" s="1"/>
  <c r="C28" i="3"/>
  <c r="D28" i="3" s="1"/>
  <c r="E28" i="3" s="1"/>
  <c r="F28" i="3" s="1"/>
  <c r="G28" i="3" s="1"/>
  <c r="C59" i="3"/>
  <c r="D59" i="3" s="1"/>
  <c r="E59" i="3" s="1"/>
  <c r="F59" i="3" s="1"/>
  <c r="G59" i="3" s="1"/>
  <c r="C32" i="3"/>
  <c r="D32" i="3" s="1"/>
  <c r="E32" i="3" s="1"/>
  <c r="F32" i="3" s="1"/>
  <c r="G32" i="3" s="1"/>
  <c r="C61" i="3"/>
  <c r="D61" i="3" s="1"/>
  <c r="E61" i="3" s="1"/>
  <c r="F61" i="3" s="1"/>
  <c r="G61" i="3" s="1"/>
  <c r="C31" i="3"/>
  <c r="D31" i="3" s="1"/>
  <c r="E31" i="3" s="1"/>
  <c r="F31" i="3" s="1"/>
  <c r="G31" i="3" s="1"/>
  <c r="B20" i="3"/>
  <c r="G7" i="3"/>
  <c r="B49" i="3" s="1"/>
  <c r="B56" i="3" s="1"/>
  <c r="G4" i="3"/>
  <c r="B46" i="3" s="1"/>
  <c r="B53" i="3" s="1"/>
  <c r="G5" i="3"/>
  <c r="B47" i="3" s="1"/>
  <c r="B54" i="3" s="1"/>
  <c r="G3" i="1"/>
  <c r="D70" i="2" l="1"/>
  <c r="E34" i="2"/>
  <c r="C47" i="2"/>
  <c r="C57" i="2"/>
  <c r="C48" i="2"/>
  <c r="D52" i="2"/>
  <c r="D68" i="2"/>
  <c r="E67" i="2"/>
  <c r="F67" i="2" s="1"/>
  <c r="G67" i="2" s="1"/>
  <c r="H67" i="2" s="1"/>
  <c r="D28" i="2"/>
  <c r="D30" i="2"/>
  <c r="C19" i="2"/>
  <c r="C33" i="2"/>
  <c r="C17" i="2"/>
  <c r="C37" i="2"/>
  <c r="C21" i="2"/>
  <c r="C39" i="2"/>
  <c r="C35" i="2"/>
  <c r="F7" i="2"/>
  <c r="F56" i="2" s="1"/>
  <c r="E32" i="2"/>
  <c r="E18" i="2"/>
  <c r="C96" i="2"/>
  <c r="C12" i="2"/>
  <c r="C42" i="2" s="1"/>
  <c r="C93" i="2"/>
  <c r="E3" i="2"/>
  <c r="I8" i="1"/>
  <c r="I7" i="1"/>
  <c r="I52" i="3"/>
  <c r="B69" i="3"/>
  <c r="F15" i="1" s="1"/>
  <c r="J47" i="3"/>
  <c r="I54" i="3"/>
  <c r="B68" i="3" s="1"/>
  <c r="F14" i="1" s="1"/>
  <c r="J46" i="3"/>
  <c r="I53" i="3"/>
  <c r="B67" i="3" s="1"/>
  <c r="F13" i="1" s="1"/>
  <c r="J49" i="3"/>
  <c r="I56" i="3"/>
  <c r="B70" i="3" s="1"/>
  <c r="F16" i="1" s="1"/>
  <c r="K44" i="3"/>
  <c r="K48" i="3"/>
  <c r="J38" i="3"/>
  <c r="J18" i="3"/>
  <c r="J39" i="3" s="1"/>
  <c r="K25" i="3"/>
  <c r="J19" i="3"/>
  <c r="J40" i="3" s="1"/>
  <c r="J15" i="3"/>
  <c r="J36" i="3" s="1"/>
  <c r="J16" i="3"/>
  <c r="J37" i="3" s="1"/>
  <c r="D87" i="2"/>
  <c r="C89" i="2"/>
  <c r="C95" i="2" s="1"/>
  <c r="C49" i="3"/>
  <c r="C46" i="3"/>
  <c r="B52" i="3"/>
  <c r="C47" i="3"/>
  <c r="D47" i="3" s="1"/>
  <c r="D14" i="2"/>
  <c r="D4" i="2"/>
  <c r="E70" i="2"/>
  <c r="C63" i="2"/>
  <c r="C74" i="2"/>
  <c r="C26" i="2"/>
  <c r="C24" i="2"/>
  <c r="D8" i="2"/>
  <c r="D57" i="2" s="1"/>
  <c r="D44" i="3"/>
  <c r="D48" i="3"/>
  <c r="F10" i="3"/>
  <c r="C17" i="3"/>
  <c r="C18" i="3"/>
  <c r="C55" i="3" s="1"/>
  <c r="C19" i="3"/>
  <c r="C16" i="3"/>
  <c r="C37" i="3" s="1"/>
  <c r="C15" i="3"/>
  <c r="C52" i="3" s="1"/>
  <c r="H3" i="1"/>
  <c r="D47" i="2" l="1"/>
  <c r="D53" i="2"/>
  <c r="D48" i="2"/>
  <c r="E52" i="2"/>
  <c r="E68" i="2"/>
  <c r="D19" i="2"/>
  <c r="D33" i="2"/>
  <c r="D29" i="2"/>
  <c r="D31" i="2"/>
  <c r="D15" i="2"/>
  <c r="D35" i="2"/>
  <c r="E28" i="2"/>
  <c r="E30" i="2"/>
  <c r="G7" i="2"/>
  <c r="G56" i="2" s="1"/>
  <c r="F32" i="2"/>
  <c r="F18" i="2"/>
  <c r="F34" i="2"/>
  <c r="C97" i="2"/>
  <c r="C61" i="2"/>
  <c r="C64" i="2" s="1"/>
  <c r="C41" i="2"/>
  <c r="B4" i="4"/>
  <c r="B5" i="4"/>
  <c r="E14" i="2"/>
  <c r="E4" i="2"/>
  <c r="F3" i="2"/>
  <c r="K8" i="1"/>
  <c r="J8" i="1"/>
  <c r="K7" i="1"/>
  <c r="J7" i="1"/>
  <c r="B66" i="3"/>
  <c r="F12" i="1" s="1"/>
  <c r="J52" i="3"/>
  <c r="J55" i="3"/>
  <c r="K47" i="3"/>
  <c r="J54" i="3"/>
  <c r="L44" i="3"/>
  <c r="J56" i="3"/>
  <c r="K49" i="3"/>
  <c r="L48" i="3"/>
  <c r="K46" i="3"/>
  <c r="J53" i="3"/>
  <c r="L25" i="3"/>
  <c r="C36" i="3"/>
  <c r="J20" i="3"/>
  <c r="C56" i="3"/>
  <c r="C53" i="3"/>
  <c r="D88" i="2"/>
  <c r="E86" i="2"/>
  <c r="C102" i="2"/>
  <c r="C54" i="3"/>
  <c r="D46" i="3"/>
  <c r="E46" i="3" s="1"/>
  <c r="D49" i="3"/>
  <c r="E49" i="3" s="1"/>
  <c r="F70" i="2"/>
  <c r="F68" i="2"/>
  <c r="C76" i="2"/>
  <c r="C78" i="2" s="1"/>
  <c r="D9" i="2"/>
  <c r="D58" i="2" s="1"/>
  <c r="D5" i="2"/>
  <c r="D54" i="2" s="1"/>
  <c r="E8" i="2"/>
  <c r="E57" i="2" s="1"/>
  <c r="E47" i="3"/>
  <c r="E48" i="3"/>
  <c r="E44" i="3"/>
  <c r="G10" i="3"/>
  <c r="C40" i="3"/>
  <c r="C38" i="3"/>
  <c r="C39" i="3"/>
  <c r="C20" i="3"/>
  <c r="D19" i="3" s="1"/>
  <c r="I3" i="1"/>
  <c r="E48" i="2" l="1"/>
  <c r="F52" i="2"/>
  <c r="E47" i="2"/>
  <c r="E53" i="2"/>
  <c r="D16" i="2"/>
  <c r="D36" i="2"/>
  <c r="H7" i="2"/>
  <c r="H56" i="2" s="1"/>
  <c r="G32" i="2"/>
  <c r="G18" i="2"/>
  <c r="G34" i="2"/>
  <c r="D20" i="2"/>
  <c r="D38" i="2"/>
  <c r="F28" i="2"/>
  <c r="F30" i="2"/>
  <c r="E29" i="2"/>
  <c r="E31" i="2"/>
  <c r="E15" i="2"/>
  <c r="E33" i="2"/>
  <c r="E19" i="2"/>
  <c r="E35" i="2"/>
  <c r="D11" i="2"/>
  <c r="D41" i="2" s="1"/>
  <c r="F14" i="2"/>
  <c r="F4" i="2"/>
  <c r="F53" i="2" s="1"/>
  <c r="G3" i="2"/>
  <c r="D75" i="2"/>
  <c r="D94" i="2"/>
  <c r="C66" i="3"/>
  <c r="G12" i="1" s="1"/>
  <c r="C69" i="3"/>
  <c r="B71" i="3"/>
  <c r="F17" i="1" s="1"/>
  <c r="C67" i="3"/>
  <c r="G13" i="1" s="1"/>
  <c r="C70" i="3"/>
  <c r="G16" i="1" s="1"/>
  <c r="L46" i="3"/>
  <c r="M48" i="3"/>
  <c r="L49" i="3"/>
  <c r="M44" i="3"/>
  <c r="C68" i="3"/>
  <c r="G14" i="1" s="1"/>
  <c r="L47" i="3"/>
  <c r="M25" i="3"/>
  <c r="K16" i="3"/>
  <c r="K37" i="3" s="1"/>
  <c r="K17" i="3"/>
  <c r="K38" i="3" s="1"/>
  <c r="K19" i="3"/>
  <c r="K40" i="3" s="1"/>
  <c r="K15" i="3"/>
  <c r="K18" i="3"/>
  <c r="F5" i="1"/>
  <c r="E87" i="2"/>
  <c r="D92" i="2"/>
  <c r="D89" i="2"/>
  <c r="C99" i="2"/>
  <c r="D56" i="3"/>
  <c r="G70" i="2"/>
  <c r="G68" i="2"/>
  <c r="C103" i="2"/>
  <c r="D25" i="2"/>
  <c r="D73" i="2"/>
  <c r="D23" i="2"/>
  <c r="F8" i="2"/>
  <c r="F57" i="2" s="1"/>
  <c r="F48" i="3"/>
  <c r="F47" i="3"/>
  <c r="F49" i="3"/>
  <c r="F46" i="3"/>
  <c r="F44" i="3"/>
  <c r="D16" i="3"/>
  <c r="D37" i="3" s="1"/>
  <c r="D18" i="3"/>
  <c r="D15" i="3"/>
  <c r="D36" i="3" s="1"/>
  <c r="D17" i="3"/>
  <c r="D40" i="3"/>
  <c r="J3" i="1"/>
  <c r="K3" i="1" s="1"/>
  <c r="F48" i="2" l="1"/>
  <c r="G52" i="2"/>
  <c r="F47" i="2"/>
  <c r="G28" i="2"/>
  <c r="G30" i="2"/>
  <c r="F19" i="2"/>
  <c r="F33" i="2"/>
  <c r="F35" i="2"/>
  <c r="H18" i="2"/>
  <c r="H32" i="2"/>
  <c r="H34" i="2"/>
  <c r="F31" i="2"/>
  <c r="F15" i="2"/>
  <c r="F29" i="2"/>
  <c r="D60" i="2"/>
  <c r="D96" i="2"/>
  <c r="D77" i="2"/>
  <c r="C5" i="4"/>
  <c r="C4" i="4"/>
  <c r="H3" i="2"/>
  <c r="G14" i="2"/>
  <c r="G4" i="2"/>
  <c r="G53" i="2" s="1"/>
  <c r="K56" i="3"/>
  <c r="D70" i="3" s="1"/>
  <c r="H16" i="1" s="1"/>
  <c r="K54" i="3"/>
  <c r="M47" i="3"/>
  <c r="N44" i="3"/>
  <c r="K39" i="3"/>
  <c r="K55" i="3"/>
  <c r="K36" i="3"/>
  <c r="K52" i="3"/>
  <c r="M49" i="3"/>
  <c r="K53" i="3"/>
  <c r="M46" i="3"/>
  <c r="N48" i="3"/>
  <c r="N25" i="3"/>
  <c r="K20" i="3"/>
  <c r="C100" i="2"/>
  <c r="F4" i="1"/>
  <c r="F6" i="1" s="1"/>
  <c r="F9" i="1" s="1"/>
  <c r="F19" i="1" s="1"/>
  <c r="B8" i="4" s="1"/>
  <c r="E88" i="2"/>
  <c r="F86" i="2"/>
  <c r="D53" i="3"/>
  <c r="D52" i="3"/>
  <c r="D39" i="3"/>
  <c r="D55" i="3"/>
  <c r="D38" i="3"/>
  <c r="D54" i="3"/>
  <c r="H70" i="2"/>
  <c r="H68" i="2"/>
  <c r="D10" i="2"/>
  <c r="D59" i="2" s="1"/>
  <c r="D6" i="2"/>
  <c r="D55" i="2" s="1"/>
  <c r="G8" i="2"/>
  <c r="G57" i="2" s="1"/>
  <c r="G44" i="3"/>
  <c r="G46" i="3"/>
  <c r="G49" i="3"/>
  <c r="G47" i="3"/>
  <c r="G48" i="3"/>
  <c r="C71" i="3"/>
  <c r="G17" i="1" s="1"/>
  <c r="G15" i="1"/>
  <c r="D20" i="3"/>
  <c r="G48" i="2" l="1"/>
  <c r="H52" i="2"/>
  <c r="G47" i="2"/>
  <c r="D37" i="2"/>
  <c r="G19" i="2"/>
  <c r="G33" i="2"/>
  <c r="G35" i="2"/>
  <c r="G29" i="2"/>
  <c r="G15" i="2"/>
  <c r="G31" i="2"/>
  <c r="H28" i="2"/>
  <c r="H30" i="2"/>
  <c r="D21" i="2"/>
  <c r="D39" i="2"/>
  <c r="D12" i="2"/>
  <c r="D42" i="2" s="1"/>
  <c r="D17" i="2"/>
  <c r="H4" i="2"/>
  <c r="H53" i="2" s="1"/>
  <c r="H14" i="2"/>
  <c r="D76" i="2"/>
  <c r="D95" i="2"/>
  <c r="D66" i="3"/>
  <c r="H12" i="1" s="1"/>
  <c r="N46" i="3"/>
  <c r="N49" i="3"/>
  <c r="D68" i="3"/>
  <c r="H14" i="1" s="1"/>
  <c r="D67" i="3"/>
  <c r="H13" i="1" s="1"/>
  <c r="N47" i="3"/>
  <c r="D69" i="3"/>
  <c r="H15" i="1" s="1"/>
  <c r="L15" i="3"/>
  <c r="L17" i="3"/>
  <c r="L16" i="3"/>
  <c r="L18" i="3"/>
  <c r="L19" i="3"/>
  <c r="F87" i="2"/>
  <c r="D24" i="2"/>
  <c r="D93" i="2"/>
  <c r="E89" i="2"/>
  <c r="D26" i="2"/>
  <c r="D74" i="2"/>
  <c r="H8" i="2"/>
  <c r="H57" i="2" s="1"/>
  <c r="E18" i="3"/>
  <c r="E55" i="3" s="1"/>
  <c r="E15" i="3"/>
  <c r="E17" i="3"/>
  <c r="E54" i="3" s="1"/>
  <c r="E16" i="3"/>
  <c r="E19" i="3"/>
  <c r="E56" i="3" s="1"/>
  <c r="H47" i="2" l="1"/>
  <c r="H19" i="2"/>
  <c r="H33" i="2"/>
  <c r="H35" i="2"/>
  <c r="H29" i="2"/>
  <c r="H15" i="2"/>
  <c r="H31" i="2"/>
  <c r="D63" i="2"/>
  <c r="D61" i="2"/>
  <c r="D64" i="2" s="1"/>
  <c r="D102" i="2"/>
  <c r="D97" i="2"/>
  <c r="D78" i="2"/>
  <c r="G4" i="1" s="1"/>
  <c r="D99" i="2"/>
  <c r="L36" i="3"/>
  <c r="L52" i="3"/>
  <c r="L40" i="3"/>
  <c r="L56" i="3"/>
  <c r="L39" i="3"/>
  <c r="L55" i="3"/>
  <c r="L37" i="3"/>
  <c r="L53" i="3"/>
  <c r="L38" i="3"/>
  <c r="L54" i="3"/>
  <c r="E53" i="3"/>
  <c r="E37" i="3"/>
  <c r="E52" i="3"/>
  <c r="E36" i="3"/>
  <c r="L20" i="3"/>
  <c r="M16" i="3" s="1"/>
  <c r="D71" i="3"/>
  <c r="H17" i="1" s="1"/>
  <c r="F88" i="2"/>
  <c r="G86" i="2"/>
  <c r="E9" i="2"/>
  <c r="E5" i="2"/>
  <c r="E54" i="2" s="1"/>
  <c r="E39" i="3"/>
  <c r="E40" i="3"/>
  <c r="E38" i="3"/>
  <c r="E20" i="3"/>
  <c r="F19" i="3" s="1"/>
  <c r="F56" i="3" s="1"/>
  <c r="E38" i="2" l="1"/>
  <c r="E58" i="2"/>
  <c r="E75" i="2" s="1"/>
  <c r="E36" i="2"/>
  <c r="E94" i="2"/>
  <c r="E20" i="2"/>
  <c r="E11" i="2"/>
  <c r="E41" i="2" s="1"/>
  <c r="E16" i="2"/>
  <c r="G5" i="1"/>
  <c r="G6" i="1" s="1"/>
  <c r="G9" i="1" s="1"/>
  <c r="G19" i="1" s="1"/>
  <c r="C8" i="4" s="1"/>
  <c r="D103" i="2"/>
  <c r="E69" i="3"/>
  <c r="I15" i="1" s="1"/>
  <c r="D100" i="2"/>
  <c r="E70" i="3"/>
  <c r="I16" i="1" s="1"/>
  <c r="E68" i="3"/>
  <c r="I14" i="1" s="1"/>
  <c r="M37" i="3"/>
  <c r="M53" i="3"/>
  <c r="E66" i="3"/>
  <c r="E67" i="3"/>
  <c r="I13" i="1" s="1"/>
  <c r="M15" i="3"/>
  <c r="M18" i="3"/>
  <c r="M19" i="3"/>
  <c r="M17" i="3"/>
  <c r="E92" i="2"/>
  <c r="G87" i="2"/>
  <c r="F89" i="2"/>
  <c r="E23" i="2"/>
  <c r="E73" i="2"/>
  <c r="E25" i="2"/>
  <c r="F18" i="3"/>
  <c r="F16" i="3"/>
  <c r="F37" i="3" s="1"/>
  <c r="F40" i="3"/>
  <c r="F15" i="3"/>
  <c r="F17" i="3"/>
  <c r="F54" i="3" s="1"/>
  <c r="E96" i="2" l="1"/>
  <c r="E60" i="2"/>
  <c r="E77" i="2"/>
  <c r="M39" i="3"/>
  <c r="M55" i="3"/>
  <c r="M38" i="3"/>
  <c r="M54" i="3"/>
  <c r="M36" i="3"/>
  <c r="M52" i="3"/>
  <c r="M40" i="3"/>
  <c r="M56" i="3"/>
  <c r="F52" i="3"/>
  <c r="F36" i="3"/>
  <c r="M20" i="3"/>
  <c r="G88" i="2"/>
  <c r="H86" i="2"/>
  <c r="F39" i="3"/>
  <c r="F55" i="3"/>
  <c r="F53" i="3"/>
  <c r="F67" i="3" s="1"/>
  <c r="E6" i="2"/>
  <c r="E55" i="2" s="1"/>
  <c r="E10" i="2"/>
  <c r="I12" i="1"/>
  <c r="E71" i="3"/>
  <c r="I17" i="1" s="1"/>
  <c r="F38" i="3"/>
  <c r="F20" i="3"/>
  <c r="E39" i="2" l="1"/>
  <c r="E59" i="2"/>
  <c r="E76" i="2" s="1"/>
  <c r="E17" i="2"/>
  <c r="E37" i="2"/>
  <c r="E95" i="2"/>
  <c r="E21" i="2"/>
  <c r="E12" i="2"/>
  <c r="E42" i="2" s="1"/>
  <c r="D5" i="4"/>
  <c r="D4" i="4"/>
  <c r="F70" i="3"/>
  <c r="J16" i="1" s="1"/>
  <c r="F68" i="3"/>
  <c r="J14" i="1" s="1"/>
  <c r="F69" i="3"/>
  <c r="J15" i="1" s="1"/>
  <c r="F66" i="3"/>
  <c r="N16" i="3"/>
  <c r="N17" i="3"/>
  <c r="N18" i="3"/>
  <c r="N19" i="3"/>
  <c r="N15" i="3"/>
  <c r="J13" i="1"/>
  <c r="E93" i="2"/>
  <c r="H87" i="2"/>
  <c r="G89" i="2"/>
  <c r="E26" i="2"/>
  <c r="E24" i="2"/>
  <c r="E74" i="2"/>
  <c r="G18" i="3"/>
  <c r="G55" i="3" s="1"/>
  <c r="G19" i="3"/>
  <c r="G56" i="3" s="1"/>
  <c r="G15" i="3"/>
  <c r="G16" i="3"/>
  <c r="G17" i="3"/>
  <c r="G54" i="3" s="1"/>
  <c r="E99" i="2" l="1"/>
  <c r="E78" i="2"/>
  <c r="H4" i="1" s="1"/>
  <c r="E63" i="2"/>
  <c r="E61" i="2"/>
  <c r="E102" i="2"/>
  <c r="E97" i="2"/>
  <c r="N40" i="3"/>
  <c r="N56" i="3"/>
  <c r="N36" i="3"/>
  <c r="N52" i="3"/>
  <c r="N39" i="3"/>
  <c r="N55" i="3"/>
  <c r="N37" i="3"/>
  <c r="N53" i="3"/>
  <c r="N38" i="3"/>
  <c r="N54" i="3"/>
  <c r="G53" i="3"/>
  <c r="G37" i="3"/>
  <c r="G52" i="3"/>
  <c r="G36" i="3"/>
  <c r="E64" i="2"/>
  <c r="N20" i="3"/>
  <c r="H88" i="2"/>
  <c r="F5" i="2"/>
  <c r="F54" i="2" s="1"/>
  <c r="F9" i="2"/>
  <c r="G40" i="3"/>
  <c r="G70" i="3" s="1"/>
  <c r="G39" i="3"/>
  <c r="G38" i="3"/>
  <c r="F71" i="3"/>
  <c r="J17" i="1" s="1"/>
  <c r="J12" i="1"/>
  <c r="G20" i="3"/>
  <c r="F38" i="2" l="1"/>
  <c r="F58" i="2"/>
  <c r="F16" i="2"/>
  <c r="F36" i="2"/>
  <c r="F94" i="2"/>
  <c r="F20" i="2"/>
  <c r="F11" i="2"/>
  <c r="F41" i="2" s="1"/>
  <c r="H5" i="1"/>
  <c r="H6" i="1" s="1"/>
  <c r="H9" i="1" s="1"/>
  <c r="H19" i="1" s="1"/>
  <c r="D8" i="4" s="1"/>
  <c r="E103" i="2"/>
  <c r="G67" i="3"/>
  <c r="K13" i="1" s="1"/>
  <c r="G66" i="3"/>
  <c r="K12" i="1" s="1"/>
  <c r="G68" i="3"/>
  <c r="K14" i="1" s="1"/>
  <c r="G69" i="3"/>
  <c r="K15" i="1" s="1"/>
  <c r="E100" i="2"/>
  <c r="F73" i="2"/>
  <c r="F92" i="2"/>
  <c r="F75" i="2"/>
  <c r="H89" i="2"/>
  <c r="F23" i="2"/>
  <c r="F60" i="2"/>
  <c r="F25" i="2"/>
  <c r="K16" i="1"/>
  <c r="F96" i="2" l="1"/>
  <c r="F77" i="2"/>
  <c r="F10" i="2"/>
  <c r="F6" i="2"/>
  <c r="F55" i="2" s="1"/>
  <c r="G71" i="3"/>
  <c r="K17" i="1" s="1"/>
  <c r="F39" i="2" l="1"/>
  <c r="F59" i="2"/>
  <c r="F17" i="2"/>
  <c r="F37" i="2"/>
  <c r="F95" i="2"/>
  <c r="F21" i="2"/>
  <c r="F12" i="2"/>
  <c r="F42" i="2" s="1"/>
  <c r="F24" i="2"/>
  <c r="F93" i="2"/>
  <c r="F76" i="2"/>
  <c r="F74" i="2"/>
  <c r="F26" i="2"/>
  <c r="F99" i="2" l="1"/>
  <c r="F78" i="2"/>
  <c r="I4" i="1" s="1"/>
  <c r="F63" i="2"/>
  <c r="F61" i="2"/>
  <c r="F102" i="2"/>
  <c r="F97" i="2"/>
  <c r="E4" i="4"/>
  <c r="E5" i="4"/>
  <c r="F64" i="2"/>
  <c r="G5" i="2"/>
  <c r="G54" i="2" s="1"/>
  <c r="G9" i="2"/>
  <c r="G38" i="2" l="1"/>
  <c r="G58" i="2"/>
  <c r="G60" i="2" s="1"/>
  <c r="G16" i="2"/>
  <c r="G36" i="2"/>
  <c r="G94" i="2"/>
  <c r="G20" i="2"/>
  <c r="G11" i="2"/>
  <c r="G41" i="2" s="1"/>
  <c r="I5" i="1"/>
  <c r="I6" i="1" s="1"/>
  <c r="I9" i="1" s="1"/>
  <c r="I19" i="1" s="1"/>
  <c r="E8" i="4" s="1"/>
  <c r="F103" i="2"/>
  <c r="G73" i="2"/>
  <c r="G23" i="2"/>
  <c r="G92" i="2"/>
  <c r="F100" i="2"/>
  <c r="G25" i="2"/>
  <c r="G96" i="2" l="1"/>
  <c r="G6" i="2"/>
  <c r="G55" i="2" s="1"/>
  <c r="G10" i="2"/>
  <c r="G75" i="2"/>
  <c r="G77" i="2" s="1"/>
  <c r="G39" i="2" l="1"/>
  <c r="G59" i="2"/>
  <c r="G17" i="2"/>
  <c r="G37" i="2"/>
  <c r="G95" i="2"/>
  <c r="G21" i="2"/>
  <c r="G12" i="2"/>
  <c r="G42" i="2" s="1"/>
  <c r="G24" i="2"/>
  <c r="G74" i="2"/>
  <c r="G93" i="2"/>
  <c r="G97" i="2" s="1"/>
  <c r="G76" i="2"/>
  <c r="G26" i="2"/>
  <c r="G63" i="2" l="1"/>
  <c r="G61" i="2"/>
  <c r="G64" i="2" s="1"/>
  <c r="G78" i="2"/>
  <c r="G103" i="2" s="1"/>
  <c r="G102" i="2"/>
  <c r="F4" i="4"/>
  <c r="F5" i="4"/>
  <c r="J4" i="1"/>
  <c r="H5" i="2"/>
  <c r="H54" i="2" s="1"/>
  <c r="J5" i="1"/>
  <c r="G99" i="2"/>
  <c r="H9" i="2"/>
  <c r="H58" i="2" s="1"/>
  <c r="H20" i="2" l="1"/>
  <c r="H38" i="2"/>
  <c r="H16" i="2"/>
  <c r="H36" i="2"/>
  <c r="H73" i="2"/>
  <c r="H11" i="2"/>
  <c r="H41" i="2" s="1"/>
  <c r="G100" i="2"/>
  <c r="H23" i="2"/>
  <c r="H92" i="2"/>
  <c r="H94" i="2"/>
  <c r="J6" i="1"/>
  <c r="J9" i="1" s="1"/>
  <c r="J19" i="1" s="1"/>
  <c r="F8" i="4" s="1"/>
  <c r="H25" i="2"/>
  <c r="H75" i="2"/>
  <c r="H60" i="2" l="1"/>
  <c r="H96" i="2"/>
  <c r="H77" i="2"/>
  <c r="H6" i="2"/>
  <c r="H55" i="2" s="1"/>
  <c r="H10" i="2"/>
  <c r="H59" i="2" s="1"/>
  <c r="H37" i="2" l="1"/>
  <c r="H21" i="2"/>
  <c r="H39" i="2"/>
  <c r="H74" i="2"/>
  <c r="H17" i="2"/>
  <c r="H12" i="2"/>
  <c r="H42" i="2" s="1"/>
  <c r="H93" i="2"/>
  <c r="H24" i="2"/>
  <c r="H76" i="2"/>
  <c r="H95" i="2"/>
  <c r="H26" i="2"/>
  <c r="H63" i="2" l="1"/>
  <c r="H61" i="2"/>
  <c r="H102" i="2"/>
  <c r="H97" i="2"/>
  <c r="H78" i="2"/>
  <c r="K4" i="1" s="1"/>
  <c r="G4" i="4"/>
  <c r="G5" i="4"/>
  <c r="H99" i="2"/>
  <c r="H64" i="2"/>
  <c r="K5" i="1"/>
  <c r="H103" i="2" l="1"/>
  <c r="K6" i="1"/>
  <c r="K9" i="1" s="1"/>
  <c r="K19" i="1" s="1"/>
  <c r="G8" i="4" s="1"/>
  <c r="H100" i="2"/>
</calcChain>
</file>

<file path=xl/sharedStrings.xml><?xml version="1.0" encoding="utf-8"?>
<sst xmlns="http://schemas.openxmlformats.org/spreadsheetml/2006/main" count="213" uniqueCount="152">
  <si>
    <t>Planning Variables</t>
  </si>
  <si>
    <t>Inflation Rate</t>
  </si>
  <si>
    <t>Income Statement</t>
  </si>
  <si>
    <t>Gifts</t>
  </si>
  <si>
    <t>Miscellaneous</t>
  </si>
  <si>
    <t>Base year, Fall</t>
  </si>
  <si>
    <t>Instruction</t>
  </si>
  <si>
    <t>Academic Support</t>
  </si>
  <si>
    <t>Student Affairs</t>
  </si>
  <si>
    <t>Administrative Support</t>
  </si>
  <si>
    <t>Plant Operations</t>
  </si>
  <si>
    <t>Fall to Fall New Student Rate Change</t>
  </si>
  <si>
    <t>Tuition, gross</t>
  </si>
  <si>
    <t>Tuition discounts</t>
  </si>
  <si>
    <t>Tuition, net</t>
  </si>
  <si>
    <t>Initial Faculty Count</t>
  </si>
  <si>
    <t>Initial Staff Count</t>
  </si>
  <si>
    <t>Initial Average Faculty Salary</t>
  </si>
  <si>
    <t>Faculty Benefit Rate</t>
  </si>
  <si>
    <t>Initial Average Staff Salary</t>
  </si>
  <si>
    <t>Staff Benefit Rate</t>
  </si>
  <si>
    <t>Initial Non-personnel</t>
  </si>
  <si>
    <t>Benefits</t>
  </si>
  <si>
    <t>Nonpersonnel</t>
  </si>
  <si>
    <t>Faculty Count</t>
  </si>
  <si>
    <t>Staff Count</t>
  </si>
  <si>
    <t>Average Salary, Faculty</t>
  </si>
  <si>
    <t>Average Salary, Staff</t>
  </si>
  <si>
    <t>Added Staff</t>
  </si>
  <si>
    <t>Inflation</t>
  </si>
  <si>
    <t>Total Expense</t>
  </si>
  <si>
    <t xml:space="preserve">Total Revenue       </t>
  </si>
  <si>
    <t xml:space="preserve">Total Expenses           </t>
  </si>
  <si>
    <t>Net Asset Change</t>
  </si>
  <si>
    <t>Growth of Incoming Class</t>
  </si>
  <si>
    <t>Tuition Rate Change</t>
  </si>
  <si>
    <t>Added Persons/Year</t>
  </si>
  <si>
    <t>Full-time Faculty Change</t>
  </si>
  <si>
    <t>Full-time Staff Change</t>
  </si>
  <si>
    <t>As % of Salaries</t>
  </si>
  <si>
    <t>Growth of % of Salaries</t>
  </si>
  <si>
    <t>Nonpersonnel Expense Rate Change</t>
  </si>
  <si>
    <t>Faculty</t>
  </si>
  <si>
    <t>Instructional Staff</t>
  </si>
  <si>
    <t>% Change above Inflation</t>
  </si>
  <si>
    <t>Graduations</t>
  </si>
  <si>
    <t>Conversions</t>
  </si>
  <si>
    <t>Rates</t>
  </si>
  <si>
    <t>Drop-outs, End of Semester</t>
  </si>
  <si>
    <t>Fa-Sp %</t>
  </si>
  <si>
    <t>Checksum</t>
  </si>
  <si>
    <t>Credit Loads</t>
  </si>
  <si>
    <t>Part-time</t>
  </si>
  <si>
    <t>Average</t>
  </si>
  <si>
    <t>Academic FTE</t>
  </si>
  <si>
    <t>Gross Tuition Revenue</t>
  </si>
  <si>
    <t>"What if" Variables</t>
  </si>
  <si>
    <t>Median Unfunded Scholarship, % of Tuition</t>
  </si>
  <si>
    <t>Annual</t>
  </si>
  <si>
    <t>Annual Rate of Change</t>
  </si>
  <si>
    <t>Proportion of Students on Scholarship</t>
  </si>
  <si>
    <t>% of Students on Scholarship</t>
  </si>
  <si>
    <t>Unfunded Scholarship Expense</t>
  </si>
  <si>
    <t>Growth of Gifts</t>
  </si>
  <si>
    <t>Growth of Miscellaneous Revenue</t>
  </si>
  <si>
    <t>Added Faculty Annually</t>
  </si>
  <si>
    <t>Full-Time</t>
  </si>
  <si>
    <t>Part-Time</t>
  </si>
  <si>
    <t>Full-time Benefit Rate</t>
  </si>
  <si>
    <t>Part-time Benefit Rate</t>
  </si>
  <si>
    <t>Part-time Faculty Change</t>
  </si>
  <si>
    <t>Part-time Staff Change</t>
  </si>
  <si>
    <t>Full-time Faculty Salary Rate Change</t>
  </si>
  <si>
    <t>Part-time Faculty Salary Rate Change</t>
  </si>
  <si>
    <t>Full-time Staff Salary Rate Change</t>
  </si>
  <si>
    <t>Part-time Staff Salary Rate Change</t>
  </si>
  <si>
    <t>Salary Expense</t>
  </si>
  <si>
    <t>Benefit Rate, % of Salaries</t>
  </si>
  <si>
    <t>Full-time Benefit Rate Change</t>
  </si>
  <si>
    <t>Part-time Benefit Rate Change</t>
  </si>
  <si>
    <t xml:space="preserve"> Expenses</t>
  </si>
  <si>
    <t>Runaway Valley College</t>
  </si>
  <si>
    <t>Annual, above Inflation</t>
  </si>
  <si>
    <t>Tuition Rates/semester</t>
  </si>
  <si>
    <r>
      <t xml:space="preserve"> </t>
    </r>
    <r>
      <rPr>
        <b/>
        <u/>
        <sz val="11"/>
        <color theme="1"/>
        <rFont val="Calibri"/>
        <family val="2"/>
        <scheme val="minor"/>
      </rPr>
      <t>Revenue</t>
    </r>
    <r>
      <rPr>
        <b/>
        <sz val="11"/>
        <color theme="1"/>
        <rFont val="Calibri"/>
        <family val="2"/>
        <scheme val="minor"/>
      </rPr>
      <t xml:space="preserve">     Year Ending:</t>
    </r>
  </si>
  <si>
    <t>Year ending:</t>
  </si>
  <si>
    <t>Growth Rates</t>
  </si>
  <si>
    <t>Growth of Median Scholarship</t>
  </si>
  <si>
    <t>Growth of % of Students on Scholarship</t>
  </si>
  <si>
    <t>Annual, as % of tuition</t>
  </si>
  <si>
    <t>Fall Student FTE/Faculty FTE</t>
  </si>
  <si>
    <t>Fall Students (heads)/FT Faculty</t>
  </si>
  <si>
    <t>Fall Students (heads)/FT Staff</t>
  </si>
  <si>
    <t>FT Faculty/FT Staff</t>
  </si>
  <si>
    <t>Net Asset Change/Revenues</t>
  </si>
  <si>
    <t>Year Ending:</t>
  </si>
  <si>
    <t>New students, Full-time, fall</t>
  </si>
  <si>
    <t>New students, Full-time, spring</t>
  </si>
  <si>
    <t>Continuing students, Full-time, fall</t>
  </si>
  <si>
    <t>Continuing students, Full-time, spring</t>
  </si>
  <si>
    <t>New students, Part-time, fall</t>
  </si>
  <si>
    <t>New students, Part-time, spring</t>
  </si>
  <si>
    <t>Continuing students, Part-time, fall</t>
  </si>
  <si>
    <t>Continuing students, Part-time, spring</t>
  </si>
  <si>
    <t>Headcount Total, fall</t>
  </si>
  <si>
    <t>Headcount Total, spring</t>
  </si>
  <si>
    <t>New Full-time to Continuing Part-time, fall</t>
  </si>
  <si>
    <t>New Full-time to Continuing Part-time, spring</t>
  </si>
  <si>
    <t>New Part-time to Continuing Full-time, fall</t>
  </si>
  <si>
    <t>New Part-time to Continuing Full-time, spring</t>
  </si>
  <si>
    <t>New Part-time to Continuing Part-time, fall</t>
  </si>
  <si>
    <t>New Part-time to Continuing Part-time, spring</t>
  </si>
  <si>
    <t>Continuing Full-time to Continuing Part-time, fall</t>
  </si>
  <si>
    <t>Continuing Full-time to Continuing Part-time, spring</t>
  </si>
  <si>
    <t>Continuing Part-time to Continuing Full-time, fall</t>
  </si>
  <si>
    <t>Continuing Part-time to Continuing Full-time, spring</t>
  </si>
  <si>
    <t>Fall to Fall New Student Rate Change:</t>
  </si>
  <si>
    <t>(Growth of Incoming Class)</t>
  </si>
  <si>
    <t>Beginning, fall</t>
  </si>
  <si>
    <t>Beginning, spring</t>
  </si>
  <si>
    <t>Less Drop-outs, fall</t>
  </si>
  <si>
    <t>Less Drop-outs, spring</t>
  </si>
  <si>
    <t>Less Graduations, fall</t>
  </si>
  <si>
    <t>Less Graduations, spring</t>
  </si>
  <si>
    <t>Plus New, fall</t>
  </si>
  <si>
    <t>Plus New, spring</t>
  </si>
  <si>
    <t>Ending, fall</t>
  </si>
  <si>
    <t>Ending, spring</t>
  </si>
  <si>
    <t>Total, fall</t>
  </si>
  <si>
    <t>Total, spring</t>
  </si>
  <si>
    <t>Academic FTE, fall</t>
  </si>
  <si>
    <t>Academic FTE, spring</t>
  </si>
  <si>
    <t>Full-time, per headcount, fall</t>
  </si>
  <si>
    <t>Full-time, per headcount, spring</t>
  </si>
  <si>
    <t>Part-time per credit, fall</t>
  </si>
  <si>
    <t>Part-time per credit, spring</t>
  </si>
  <si>
    <t>Full-time, fall</t>
  </si>
  <si>
    <t>Full-time, spring</t>
  </si>
  <si>
    <t>Part-time, fall</t>
  </si>
  <si>
    <t>Part-time, spring</t>
  </si>
  <si>
    <t>Full-time Students, fall</t>
  </si>
  <si>
    <t>Full-time Students, spring</t>
  </si>
  <si>
    <t>Part-time Students, fall</t>
  </si>
  <si>
    <t>Part-time Students, spring</t>
  </si>
  <si>
    <t>Net Tuition Revenue, fall</t>
  </si>
  <si>
    <t>Net Tuition Revenue, spring</t>
  </si>
  <si>
    <t>Discount Rate, fall</t>
  </si>
  <si>
    <t>Discount Rate, spring</t>
  </si>
  <si>
    <t>New Full-time to Continuing Full-time, fall</t>
  </si>
  <si>
    <t>New Full-time to Continuing Full-time, spring</t>
  </si>
  <si>
    <t>Expenses/Student FTE</t>
  </si>
  <si>
    <t>Convertor for  PT Faculty courses to FTE: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</si>
</sst>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8">
    <xf numFmtId="0" fontId="0" fillId="0" borderId="0" xfId="0"/>
    <xf numFmtId="164" fontId="0" fillId="3" borderId="2" xfId="1" applyNumberFormat="1" applyFont="1" applyFill="1" applyBorder="1"/>
    <xf numFmtId="0" fontId="0" fillId="3" borderId="2" xfId="0" applyFill="1" applyBorder="1"/>
    <xf numFmtId="164" fontId="0" fillId="4" borderId="0" xfId="1" applyNumberFormat="1" applyFont="1" applyFill="1"/>
    <xf numFmtId="164" fontId="0" fillId="4" borderId="1" xfId="1" applyNumberFormat="1" applyFont="1" applyFill="1" applyBorder="1"/>
    <xf numFmtId="164" fontId="0" fillId="4" borderId="0" xfId="0" applyNumberFormat="1" applyFill="1"/>
    <xf numFmtId="0" fontId="0" fillId="5" borderId="0" xfId="0" applyFill="1"/>
    <xf numFmtId="0" fontId="2" fillId="5" borderId="0" xfId="0" applyFont="1" applyFill="1"/>
    <xf numFmtId="0" fontId="0" fillId="5" borderId="0" xfId="0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5" borderId="0" xfId="0" applyFont="1" applyFill="1" applyAlignment="1">
      <alignment horizontal="center"/>
    </xf>
    <xf numFmtId="0" fontId="0" fillId="6" borderId="0" xfId="0" applyFill="1"/>
    <xf numFmtId="9" fontId="0" fillId="6" borderId="0" xfId="2" applyFont="1" applyFill="1"/>
    <xf numFmtId="9" fontId="0" fillId="4" borderId="0" xfId="2" applyFont="1" applyFill="1"/>
    <xf numFmtId="164" fontId="0" fillId="6" borderId="0" xfId="0" applyNumberFormat="1" applyFill="1"/>
    <xf numFmtId="0" fontId="0" fillId="4" borderId="1" xfId="0" applyFill="1" applyBorder="1"/>
    <xf numFmtId="9" fontId="0" fillId="4" borderId="0" xfId="0" applyNumberFormat="1" applyFill="1"/>
    <xf numFmtId="164" fontId="0" fillId="4" borderId="0" xfId="0" applyNumberFormat="1" applyFill="1" applyBorder="1"/>
    <xf numFmtId="164" fontId="0" fillId="4" borderId="1" xfId="0" applyNumberFormat="1" applyFill="1" applyBorder="1"/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center" wrapText="1"/>
    </xf>
    <xf numFmtId="164" fontId="0" fillId="4" borderId="0" xfId="1" applyNumberFormat="1" applyFont="1" applyFill="1" applyBorder="1"/>
    <xf numFmtId="164" fontId="0" fillId="6" borderId="0" xfId="1" applyNumberFormat="1" applyFont="1" applyFill="1" applyBorder="1"/>
    <xf numFmtId="9" fontId="0" fillId="6" borderId="0" xfId="2" applyFont="1" applyFill="1" applyBorder="1"/>
    <xf numFmtId="164" fontId="0" fillId="5" borderId="0" xfId="1" applyNumberFormat="1" applyFont="1" applyFill="1" applyBorder="1" applyAlignment="1">
      <alignment horizontal="center"/>
    </xf>
    <xf numFmtId="165" fontId="0" fillId="6" borderId="0" xfId="0" applyNumberFormat="1" applyFill="1"/>
    <xf numFmtId="164" fontId="0" fillId="3" borderId="2" xfId="0" applyNumberFormat="1" applyFill="1" applyBorder="1"/>
    <xf numFmtId="0" fontId="0" fillId="6" borderId="0" xfId="0" applyFill="1" applyBorder="1"/>
    <xf numFmtId="0" fontId="0" fillId="0" borderId="0" xfId="0" applyBorder="1"/>
    <xf numFmtId="164" fontId="0" fillId="5" borderId="0" xfId="0" applyNumberFormat="1" applyFill="1" applyAlignment="1">
      <alignment horizontal="left"/>
    </xf>
    <xf numFmtId="166" fontId="0" fillId="3" borderId="2" xfId="2" applyNumberFormat="1" applyFont="1" applyFill="1" applyBorder="1"/>
    <xf numFmtId="166" fontId="0" fillId="4" borderId="0" xfId="2" applyNumberFormat="1" applyFont="1" applyFill="1"/>
    <xf numFmtId="166" fontId="0" fillId="4" borderId="0" xfId="0" applyNumberFormat="1" applyFill="1"/>
    <xf numFmtId="164" fontId="0" fillId="4" borderId="0" xfId="2" applyNumberFormat="1" applyFont="1" applyFill="1" applyBorder="1"/>
    <xf numFmtId="0" fontId="2" fillId="6" borderId="0" xfId="0" applyFont="1" applyFill="1" applyAlignment="1">
      <alignment horizontal="center"/>
    </xf>
    <xf numFmtId="0" fontId="0" fillId="3" borderId="4" xfId="0" applyFill="1" applyBorder="1"/>
    <xf numFmtId="0" fontId="0" fillId="3" borderId="8" xfId="0" applyFill="1" applyBorder="1"/>
    <xf numFmtId="164" fontId="0" fillId="3" borderId="9" xfId="1" applyNumberFormat="1" applyFont="1" applyFill="1" applyBorder="1"/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3" borderId="13" xfId="0" applyFill="1" applyBorder="1"/>
    <xf numFmtId="164" fontId="0" fillId="3" borderId="13" xfId="1" applyNumberFormat="1" applyFont="1" applyFill="1" applyBorder="1"/>
    <xf numFmtId="164" fontId="0" fillId="3" borderId="14" xfId="1" applyNumberFormat="1" applyFont="1" applyFill="1" applyBorder="1"/>
    <xf numFmtId="0" fontId="2" fillId="5" borderId="10" xfId="0" applyFont="1" applyFill="1" applyBorder="1" applyAlignment="1">
      <alignment horizontal="center" wrapText="1"/>
    </xf>
    <xf numFmtId="0" fontId="2" fillId="5" borderId="0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0" fillId="4" borderId="0" xfId="0" applyFill="1" applyBorder="1"/>
    <xf numFmtId="0" fontId="0" fillId="6" borderId="5" xfId="0" applyFill="1" applyBorder="1"/>
    <xf numFmtId="0" fontId="0" fillId="6" borderId="6" xfId="0" applyFill="1" applyBorder="1"/>
    <xf numFmtId="0" fontId="2" fillId="5" borderId="7" xfId="0" applyFont="1" applyFill="1" applyBorder="1" applyAlignment="1">
      <alignment horizontal="center"/>
    </xf>
    <xf numFmtId="0" fontId="0" fillId="4" borderId="10" xfId="0" applyFill="1" applyBorder="1"/>
    <xf numFmtId="0" fontId="0" fillId="2" borderId="15" xfId="0" applyFill="1" applyBorder="1"/>
    <xf numFmtId="0" fontId="0" fillId="3" borderId="9" xfId="0" applyFill="1" applyBorder="1"/>
    <xf numFmtId="0" fontId="2" fillId="6" borderId="1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6" borderId="15" xfId="0" applyFont="1" applyFill="1" applyBorder="1"/>
    <xf numFmtId="0" fontId="2" fillId="5" borderId="15" xfId="0" applyFont="1" applyFill="1" applyBorder="1"/>
    <xf numFmtId="0" fontId="0" fillId="6" borderId="15" xfId="0" applyFill="1" applyBorder="1"/>
    <xf numFmtId="0" fontId="0" fillId="4" borderId="16" xfId="0" applyFill="1" applyBorder="1"/>
    <xf numFmtId="0" fontId="0" fillId="4" borderId="11" xfId="0" applyFill="1" applyBorder="1"/>
    <xf numFmtId="0" fontId="0" fillId="4" borderId="12" xfId="0" applyFill="1" applyBorder="1"/>
    <xf numFmtId="0" fontId="0" fillId="6" borderId="17" xfId="0" applyFill="1" applyBorder="1"/>
    <xf numFmtId="43" fontId="0" fillId="6" borderId="6" xfId="1" applyFont="1" applyFill="1" applyBorder="1"/>
    <xf numFmtId="164" fontId="0" fillId="6" borderId="0" xfId="1" applyNumberFormat="1" applyFont="1" applyFill="1"/>
    <xf numFmtId="0" fontId="0" fillId="6" borderId="7" xfId="0" applyFill="1" applyBorder="1"/>
    <xf numFmtId="0" fontId="2" fillId="5" borderId="10" xfId="0" applyFont="1" applyFill="1" applyBorder="1" applyAlignment="1">
      <alignment horizontal="right"/>
    </xf>
    <xf numFmtId="164" fontId="0" fillId="4" borderId="15" xfId="1" applyNumberFormat="1" applyFont="1" applyFill="1" applyBorder="1"/>
    <xf numFmtId="164" fontId="0" fillId="4" borderId="18" xfId="1" applyNumberFormat="1" applyFont="1" applyFill="1" applyBorder="1"/>
    <xf numFmtId="164" fontId="0" fillId="4" borderId="15" xfId="0" applyNumberFormat="1" applyFill="1" applyBorder="1"/>
    <xf numFmtId="0" fontId="3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164" fontId="0" fillId="4" borderId="12" xfId="0" applyNumberFormat="1" applyFill="1" applyBorder="1"/>
    <xf numFmtId="164" fontId="0" fillId="4" borderId="17" xfId="0" applyNumberFormat="1" applyFill="1" applyBorder="1"/>
    <xf numFmtId="0" fontId="2" fillId="4" borderId="0" xfId="0" applyFont="1" applyFill="1" applyAlignment="1">
      <alignment horizontal="right"/>
    </xf>
    <xf numFmtId="164" fontId="0" fillId="5" borderId="0" xfId="0" applyNumberFormat="1" applyFill="1"/>
    <xf numFmtId="0" fontId="2" fillId="6" borderId="0" xfId="0" applyFont="1" applyFill="1"/>
    <xf numFmtId="0" fontId="0" fillId="5" borderId="6" xfId="0" applyFill="1" applyBorder="1"/>
    <xf numFmtId="0" fontId="0" fillId="5" borderId="5" xfId="0" applyFill="1" applyBorder="1"/>
    <xf numFmtId="0" fontId="2" fillId="6" borderId="15" xfId="0" applyFont="1" applyFill="1" applyBorder="1" applyAlignment="1">
      <alignment horizontal="left"/>
    </xf>
    <xf numFmtId="0" fontId="0" fillId="6" borderId="5" xfId="0" applyFill="1" applyBorder="1" applyAlignment="1"/>
    <xf numFmtId="0" fontId="0" fillId="6" borderId="6" xfId="0" applyFill="1" applyBorder="1" applyAlignment="1"/>
    <xf numFmtId="0" fontId="0" fillId="6" borderId="7" xfId="0" applyFill="1" applyBorder="1" applyAlignment="1"/>
    <xf numFmtId="0" fontId="0" fillId="6" borderId="0" xfId="0" applyFill="1" applyAlignment="1">
      <alignment horizontal="right"/>
    </xf>
    <xf numFmtId="0" fontId="4" fillId="3" borderId="2" xfId="0" applyFont="1" applyFill="1" applyBorder="1" applyAlignment="1">
      <alignment horizontal="right"/>
    </xf>
    <xf numFmtId="0" fontId="5" fillId="5" borderId="5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164" fontId="0" fillId="3" borderId="19" xfId="1" applyNumberFormat="1" applyFont="1" applyFill="1" applyBorder="1"/>
    <xf numFmtId="0" fontId="0" fillId="6" borderId="0" xfId="0" applyFill="1" applyBorder="1" applyAlignment="1">
      <alignment horizontal="right"/>
    </xf>
    <xf numFmtId="0" fontId="2" fillId="6" borderId="10" xfId="0" applyFont="1" applyFill="1" applyBorder="1" applyAlignment="1">
      <alignment horizontal="right"/>
    </xf>
    <xf numFmtId="166" fontId="0" fillId="6" borderId="0" xfId="2" applyNumberFormat="1" applyFont="1" applyFill="1"/>
    <xf numFmtId="166" fontId="0" fillId="3" borderId="0" xfId="0" applyNumberFormat="1" applyFill="1" applyAlignment="1">
      <alignment horizontal="right"/>
    </xf>
    <xf numFmtId="166" fontId="0" fillId="6" borderId="0" xfId="0" applyNumberFormat="1" applyFill="1" applyAlignment="1">
      <alignment horizontal="right"/>
    </xf>
    <xf numFmtId="166" fontId="0" fillId="4" borderId="0" xfId="0" applyNumberFormat="1" applyFill="1" applyAlignment="1">
      <alignment horizontal="right"/>
    </xf>
    <xf numFmtId="166" fontId="0" fillId="6" borderId="0" xfId="2" applyNumberFormat="1" applyFont="1" applyFill="1" applyBorder="1"/>
    <xf numFmtId="166" fontId="0" fillId="4" borderId="0" xfId="2" applyNumberFormat="1" applyFont="1" applyFill="1" applyBorder="1"/>
    <xf numFmtId="166" fontId="0" fillId="2" borderId="3" xfId="2" applyNumberFormat="1" applyFont="1" applyFill="1" applyBorder="1"/>
    <xf numFmtId="166" fontId="0" fillId="2" borderId="0" xfId="2" applyNumberFormat="1" applyFont="1" applyFill="1"/>
    <xf numFmtId="166" fontId="0" fillId="2" borderId="0" xfId="2" applyNumberFormat="1" applyFont="1" applyFill="1" applyBorder="1"/>
    <xf numFmtId="166" fontId="0" fillId="2" borderId="0" xfId="0" applyNumberFormat="1" applyFill="1"/>
    <xf numFmtId="166" fontId="0" fillId="2" borderId="0" xfId="0" applyNumberFormat="1" applyFill="1" applyBorder="1"/>
    <xf numFmtId="166" fontId="0" fillId="4" borderId="0" xfId="0" applyNumberFormat="1" applyFill="1" applyBorder="1"/>
    <xf numFmtId="166" fontId="0" fillId="4" borderId="12" xfId="0" applyNumberFormat="1" applyFill="1" applyBorder="1"/>
    <xf numFmtId="0" fontId="0" fillId="6" borderId="0" xfId="0" applyFont="1" applyFill="1" applyAlignment="1">
      <alignment horizontal="right"/>
    </xf>
    <xf numFmtId="0" fontId="2" fillId="4" borderId="1" xfId="0" applyFont="1" applyFill="1" applyBorder="1"/>
    <xf numFmtId="0" fontId="2" fillId="5" borderId="20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0" xfId="0" applyFont="1" applyFill="1" applyBorder="1"/>
    <xf numFmtId="0" fontId="2" fillId="4" borderId="16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164" fontId="2" fillId="6" borderId="0" xfId="1" applyNumberFormat="1" applyFont="1" applyFill="1" applyAlignment="1">
      <alignment horizontal="left"/>
    </xf>
    <xf numFmtId="166" fontId="2" fillId="2" borderId="0" xfId="2" applyNumberFormat="1" applyFont="1" applyFill="1" applyBorder="1" applyAlignment="1">
      <alignment horizontal="right"/>
    </xf>
    <xf numFmtId="0" fontId="0" fillId="5" borderId="10" xfId="0" applyFill="1" applyBorder="1" applyAlignment="1">
      <alignment horizontal="right"/>
    </xf>
    <xf numFmtId="0" fontId="2" fillId="4" borderId="0" xfId="0" applyFont="1" applyFill="1" applyAlignment="1">
      <alignment horizontal="left" vertical="top"/>
    </xf>
    <xf numFmtId="0" fontId="0" fillId="4" borderId="0" xfId="0" applyFill="1" applyAlignment="1">
      <alignment horizontal="right"/>
    </xf>
    <xf numFmtId="0" fontId="0" fillId="4" borderId="1" xfId="0" applyFill="1" applyBorder="1" applyAlignment="1">
      <alignment horizontal="center"/>
    </xf>
    <xf numFmtId="167" fontId="0" fillId="4" borderId="0" xfId="1" applyNumberFormat="1" applyFont="1" applyFill="1"/>
    <xf numFmtId="165" fontId="0" fillId="4" borderId="0" xfId="3" applyNumberFormat="1" applyFont="1" applyFill="1"/>
    <xf numFmtId="0" fontId="0" fillId="5" borderId="0" xfId="0" applyFill="1" applyAlignment="1">
      <alignment horizontal="left"/>
    </xf>
    <xf numFmtId="0" fontId="0" fillId="5" borderId="1" xfId="0" applyFill="1" applyBorder="1" applyAlignment="1">
      <alignment horizontal="center"/>
    </xf>
    <xf numFmtId="166" fontId="0" fillId="2" borderId="0" xfId="0" applyNumberFormat="1" applyFill="1" applyAlignment="1">
      <alignment horizontal="left"/>
    </xf>
    <xf numFmtId="164" fontId="0" fillId="3" borderId="3" xfId="1" applyNumberFormat="1" applyFont="1" applyFill="1" applyBorder="1"/>
    <xf numFmtId="164" fontId="0" fillId="7" borderId="0" xfId="1" applyNumberFormat="1" applyFont="1" applyFill="1" applyBorder="1"/>
    <xf numFmtId="164" fontId="0" fillId="8" borderId="0" xfId="1" applyNumberFormat="1" applyFont="1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4FE6-19B9-4822-88BE-F2157F18F6E9}">
  <dimension ref="A1:M48"/>
  <sheetViews>
    <sheetView tabSelected="1" workbookViewId="0"/>
  </sheetViews>
  <sheetFormatPr defaultRowHeight="15" x14ac:dyDescent="0.25"/>
  <cols>
    <col min="1" max="1" width="36" customWidth="1"/>
    <col min="2" max="4" width="12" customWidth="1"/>
    <col min="5" max="5" width="23.5703125" customWidth="1"/>
    <col min="6" max="7" width="12" customWidth="1"/>
    <col min="8" max="8" width="11.85546875" customWidth="1"/>
    <col min="9" max="9" width="12" customWidth="1"/>
    <col min="10" max="10" width="12.7109375" customWidth="1"/>
    <col min="11" max="11" width="12" customWidth="1"/>
    <col min="12" max="12" width="12.140625" customWidth="1"/>
    <col min="13" max="13" width="12" customWidth="1"/>
    <col min="15" max="15" width="11.5703125" customWidth="1"/>
  </cols>
  <sheetData>
    <row r="1" spans="1:13" ht="16.5" thickBot="1" x14ac:dyDescent="0.3">
      <c r="A1" s="84" t="s">
        <v>81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7" t="s">
        <v>0</v>
      </c>
      <c r="B2" s="11"/>
      <c r="C2" s="11"/>
      <c r="D2" s="11"/>
      <c r="E2" s="85" t="s">
        <v>2</v>
      </c>
      <c r="F2" s="49"/>
      <c r="G2" s="49"/>
      <c r="H2" s="49"/>
      <c r="I2" s="49"/>
      <c r="J2" s="49"/>
      <c r="K2" s="65"/>
      <c r="L2" s="11"/>
      <c r="M2" s="11"/>
    </row>
    <row r="3" spans="1:13" x14ac:dyDescent="0.25">
      <c r="A3" s="8" t="s">
        <v>11</v>
      </c>
      <c r="B3" s="30">
        <v>-0.02</v>
      </c>
      <c r="C3" s="6" t="s">
        <v>34</v>
      </c>
      <c r="D3" s="6"/>
      <c r="E3" s="66" t="s">
        <v>84</v>
      </c>
      <c r="F3" s="87">
        <f>B27+1</f>
        <v>2022</v>
      </c>
      <c r="G3" s="87">
        <f>F3+1</f>
        <v>2023</v>
      </c>
      <c r="H3" s="87">
        <f>G3+1</f>
        <v>2024</v>
      </c>
      <c r="I3" s="87">
        <f>H3+1</f>
        <v>2025</v>
      </c>
      <c r="J3" s="87">
        <f>I3+1</f>
        <v>2026</v>
      </c>
      <c r="K3" s="88">
        <f>J3+1</f>
        <v>2027</v>
      </c>
      <c r="L3" s="11"/>
      <c r="M3" s="11"/>
    </row>
    <row r="4" spans="1:13" x14ac:dyDescent="0.25">
      <c r="A4" s="8" t="s">
        <v>35</v>
      </c>
      <c r="B4" s="30">
        <v>0.03</v>
      </c>
      <c r="C4" s="6" t="s">
        <v>82</v>
      </c>
      <c r="D4" s="6"/>
      <c r="E4" s="66" t="s">
        <v>12</v>
      </c>
      <c r="F4" s="21">
        <f>Enrollment!C77+Enrollment!C78</f>
        <v>29816000</v>
      </c>
      <c r="G4" s="21">
        <f>Enrollment!D77+Enrollment!D78</f>
        <v>26921737.5</v>
      </c>
      <c r="H4" s="21">
        <f>Enrollment!E77+Enrollment!E78</f>
        <v>26193299.048437506</v>
      </c>
      <c r="I4" s="21">
        <f>Enrollment!F77+Enrollment!F78</f>
        <v>26248175.4955834</v>
      </c>
      <c r="J4" s="21">
        <f>Enrollment!G77+Enrollment!G78</f>
        <v>26642130.586618878</v>
      </c>
      <c r="K4" s="67">
        <f>Enrollment!H77+Enrollment!H78</f>
        <v>27210709.602200523</v>
      </c>
      <c r="L4" s="11"/>
      <c r="M4" s="11"/>
    </row>
    <row r="5" spans="1:13" x14ac:dyDescent="0.25">
      <c r="A5" s="116" t="s">
        <v>87</v>
      </c>
      <c r="B5" s="30">
        <v>0.05</v>
      </c>
      <c r="C5" s="6" t="s">
        <v>89</v>
      </c>
      <c r="D5" s="6"/>
      <c r="E5" s="66" t="s">
        <v>13</v>
      </c>
      <c r="F5" s="4">
        <f>Enrollment!C96+Enrollment!C97</f>
        <v>8508000</v>
      </c>
      <c r="G5" s="4">
        <f>Enrollment!D96+Enrollment!D97</f>
        <v>8317440.1209375011</v>
      </c>
      <c r="H5" s="4">
        <f>Enrollment!E96+Enrollment!E97</f>
        <v>8890889.9811681397</v>
      </c>
      <c r="I5" s="4">
        <f>Enrollment!F96+Enrollment!F97</f>
        <v>9825359.6935113445</v>
      </c>
      <c r="J5" s="4">
        <f>Enrollment!G96+Enrollment!G97</f>
        <v>11003716.590290543</v>
      </c>
      <c r="K5" s="68">
        <f>Enrollment!H96+Enrollment!H97</f>
        <v>12398228.14341747</v>
      </c>
      <c r="L5" s="11"/>
      <c r="M5" s="11"/>
    </row>
    <row r="6" spans="1:13" x14ac:dyDescent="0.25">
      <c r="A6" s="116" t="s">
        <v>61</v>
      </c>
      <c r="B6" s="30">
        <v>0.5</v>
      </c>
      <c r="C6" s="11"/>
      <c r="D6" s="11"/>
      <c r="E6" s="66" t="s">
        <v>14</v>
      </c>
      <c r="F6" s="17">
        <f t="shared" ref="F6" si="0">F4-F5</f>
        <v>21308000</v>
      </c>
      <c r="G6" s="17">
        <f t="shared" ref="G6" si="1">G4-G5</f>
        <v>18604297.3790625</v>
      </c>
      <c r="H6" s="17">
        <f t="shared" ref="H6" si="2">H4-H5</f>
        <v>17302409.067269366</v>
      </c>
      <c r="I6" s="17">
        <f t="shared" ref="I6" si="3">I4-I5</f>
        <v>16422815.802072056</v>
      </c>
      <c r="J6" s="17">
        <f t="shared" ref="J6" si="4">J4-J5</f>
        <v>15638413.996328335</v>
      </c>
      <c r="K6" s="69">
        <f t="shared" ref="K6" si="5">K4-K5</f>
        <v>14812481.458783053</v>
      </c>
      <c r="L6" s="11"/>
      <c r="M6" s="11"/>
    </row>
    <row r="7" spans="1:13" x14ac:dyDescent="0.25">
      <c r="A7" s="116" t="s">
        <v>88</v>
      </c>
      <c r="B7" s="30">
        <v>0.05</v>
      </c>
      <c r="C7" s="6" t="s">
        <v>58</v>
      </c>
      <c r="D7" s="6"/>
      <c r="E7" s="66" t="s">
        <v>3</v>
      </c>
      <c r="F7" s="21">
        <f>Enrollment!C106</f>
        <v>4000000</v>
      </c>
      <c r="G7" s="21">
        <f>Enrollment!D106</f>
        <v>4080000</v>
      </c>
      <c r="H7" s="21">
        <f>Enrollment!E106</f>
        <v>4161600</v>
      </c>
      <c r="I7" s="21">
        <f>Enrollment!F106</f>
        <v>4244832</v>
      </c>
      <c r="J7" s="21">
        <f>Enrollment!G106</f>
        <v>4329728.6399999997</v>
      </c>
      <c r="K7" s="67">
        <f>Enrollment!H106</f>
        <v>4416323.2127999999</v>
      </c>
      <c r="L7" s="11"/>
      <c r="M7" s="11"/>
    </row>
    <row r="8" spans="1:13" x14ac:dyDescent="0.25">
      <c r="A8" s="8" t="s">
        <v>63</v>
      </c>
      <c r="B8" s="30">
        <v>0</v>
      </c>
      <c r="C8" s="6" t="s">
        <v>82</v>
      </c>
      <c r="D8" s="6"/>
      <c r="E8" s="66" t="s">
        <v>4</v>
      </c>
      <c r="F8" s="4">
        <f>Enrollment!C108</f>
        <v>1000000</v>
      </c>
      <c r="G8" s="4">
        <f>Enrollment!D108</f>
        <v>1020000</v>
      </c>
      <c r="H8" s="4">
        <f>Enrollment!E108</f>
        <v>1040400</v>
      </c>
      <c r="I8" s="4">
        <f>Enrollment!F108</f>
        <v>1061208</v>
      </c>
      <c r="J8" s="4">
        <f>Enrollment!G108</f>
        <v>1082432.1599999999</v>
      </c>
      <c r="K8" s="68">
        <f>Enrollment!H108</f>
        <v>1104080.8032</v>
      </c>
      <c r="L8" s="11"/>
      <c r="M8" s="11"/>
    </row>
    <row r="9" spans="1:13" x14ac:dyDescent="0.25">
      <c r="A9" s="8" t="s">
        <v>64</v>
      </c>
      <c r="B9" s="30">
        <v>0</v>
      </c>
      <c r="C9" s="6" t="s">
        <v>82</v>
      </c>
      <c r="D9" s="6"/>
      <c r="E9" s="70" t="s">
        <v>31</v>
      </c>
      <c r="F9" s="17">
        <f t="shared" ref="F9:K9" si="6">SUM(F6:F8)</f>
        <v>26308000</v>
      </c>
      <c r="G9" s="17">
        <f t="shared" si="6"/>
        <v>23704297.3790625</v>
      </c>
      <c r="H9" s="17">
        <f t="shared" si="6"/>
        <v>22504409.067269366</v>
      </c>
      <c r="I9" s="17">
        <f t="shared" si="6"/>
        <v>21728855.802072056</v>
      </c>
      <c r="J9" s="17">
        <f t="shared" si="6"/>
        <v>21050574.796328336</v>
      </c>
      <c r="K9" s="69">
        <f t="shared" si="6"/>
        <v>20332885.474783052</v>
      </c>
      <c r="L9" s="11"/>
      <c r="M9" s="11"/>
    </row>
    <row r="10" spans="1:13" x14ac:dyDescent="0.25">
      <c r="A10" s="8" t="s">
        <v>72</v>
      </c>
      <c r="B10" s="30">
        <v>0.01</v>
      </c>
      <c r="C10" s="6" t="s">
        <v>82</v>
      </c>
      <c r="D10" s="6"/>
      <c r="E10" s="38"/>
      <c r="F10" s="27"/>
      <c r="G10" s="27"/>
      <c r="H10" s="27"/>
      <c r="I10" s="27"/>
      <c r="J10" s="27"/>
      <c r="K10" s="58"/>
      <c r="L10" s="11"/>
      <c r="M10" s="11"/>
    </row>
    <row r="11" spans="1:13" x14ac:dyDescent="0.25">
      <c r="A11" s="8" t="s">
        <v>73</v>
      </c>
      <c r="B11" s="30">
        <v>0</v>
      </c>
      <c r="C11" s="6" t="s">
        <v>82</v>
      </c>
      <c r="D11" s="6"/>
      <c r="E11" s="86" t="s">
        <v>80</v>
      </c>
      <c r="F11" s="89">
        <f>B27+1</f>
        <v>2022</v>
      </c>
      <c r="G11" s="89">
        <f>F11+1</f>
        <v>2023</v>
      </c>
      <c r="H11" s="89">
        <f t="shared" ref="H11:K11" si="7">G11+1</f>
        <v>2024</v>
      </c>
      <c r="I11" s="89">
        <f t="shared" si="7"/>
        <v>2025</v>
      </c>
      <c r="J11" s="89">
        <f t="shared" si="7"/>
        <v>2026</v>
      </c>
      <c r="K11" s="90">
        <f t="shared" si="7"/>
        <v>2027</v>
      </c>
      <c r="L11" s="11"/>
      <c r="M11" s="11"/>
    </row>
    <row r="12" spans="1:13" x14ac:dyDescent="0.25">
      <c r="A12" s="8" t="s">
        <v>74</v>
      </c>
      <c r="B12" s="30">
        <v>0.01</v>
      </c>
      <c r="C12" s="6" t="s">
        <v>82</v>
      </c>
      <c r="D12" s="6"/>
      <c r="E12" s="66" t="s">
        <v>6</v>
      </c>
      <c r="F12" s="21">
        <f>Staffing!B66</f>
        <v>14839000</v>
      </c>
      <c r="G12" s="21">
        <f>Staffing!C66</f>
        <v>15287180.02</v>
      </c>
      <c r="H12" s="21">
        <f>Staffing!D66</f>
        <v>15749170.895336</v>
      </c>
      <c r="I12" s="21">
        <f>Staffing!E66</f>
        <v>16225379.883936496</v>
      </c>
      <c r="J12" s="21">
        <f>Staffing!F66</f>
        <v>16716224.20719845</v>
      </c>
      <c r="K12" s="67">
        <f>Staffing!G66</f>
        <v>17222131.129017916</v>
      </c>
      <c r="L12" s="11"/>
      <c r="M12" s="11"/>
    </row>
    <row r="13" spans="1:13" x14ac:dyDescent="0.25">
      <c r="A13" s="8" t="s">
        <v>75</v>
      </c>
      <c r="B13" s="30">
        <v>0.01</v>
      </c>
      <c r="C13" s="6" t="s">
        <v>82</v>
      </c>
      <c r="D13" s="6"/>
      <c r="E13" s="66" t="s">
        <v>7</v>
      </c>
      <c r="F13" s="21">
        <f>Staffing!B67</f>
        <v>1909000</v>
      </c>
      <c r="G13" s="21">
        <f>Staffing!C67</f>
        <v>1936124.32</v>
      </c>
      <c r="H13" s="21">
        <f>Staffing!D67</f>
        <v>1963467.5264960004</v>
      </c>
      <c r="I13" s="21">
        <f>Staffing!E67</f>
        <v>1991020.1049189377</v>
      </c>
      <c r="J13" s="21">
        <f>Staffing!F67</f>
        <v>2018771.6458875511</v>
      </c>
      <c r="K13" s="67">
        <f>Staffing!G67</f>
        <v>2046710.790981862</v>
      </c>
      <c r="L13" s="11"/>
      <c r="M13" s="11"/>
    </row>
    <row r="14" spans="1:13" x14ac:dyDescent="0.25">
      <c r="A14" s="8" t="s">
        <v>37</v>
      </c>
      <c r="B14" s="1">
        <v>-1</v>
      </c>
      <c r="C14" s="6" t="s">
        <v>36</v>
      </c>
      <c r="D14" s="6"/>
      <c r="E14" s="66" t="s">
        <v>8</v>
      </c>
      <c r="F14" s="21">
        <f>Staffing!B68</f>
        <v>1459000</v>
      </c>
      <c r="G14" s="21">
        <f>Staffing!C68</f>
        <v>1472624.32</v>
      </c>
      <c r="H14" s="21">
        <f>Staffing!D68</f>
        <v>1486062.5264960004</v>
      </c>
      <c r="I14" s="21">
        <f>Staffing!E68</f>
        <v>1499292.9549189378</v>
      </c>
      <c r="J14" s="21">
        <f>Staffing!F68</f>
        <v>1512292.6813875509</v>
      </c>
      <c r="K14" s="67">
        <f>Staffing!G68</f>
        <v>1525037.4575468618</v>
      </c>
      <c r="L14" s="11"/>
      <c r="M14" s="11"/>
    </row>
    <row r="15" spans="1:13" x14ac:dyDescent="0.25">
      <c r="A15" s="8" t="s">
        <v>38</v>
      </c>
      <c r="B15" s="1">
        <v>-2</v>
      </c>
      <c r="C15" s="6" t="s">
        <v>36</v>
      </c>
      <c r="D15" s="6"/>
      <c r="E15" s="66" t="s">
        <v>9</v>
      </c>
      <c r="F15" s="21">
        <f>Staffing!B69</f>
        <v>1459000</v>
      </c>
      <c r="G15" s="21">
        <f>Staffing!C69</f>
        <v>1472624.32</v>
      </c>
      <c r="H15" s="21">
        <f>Staffing!D69</f>
        <v>1486062.5264960004</v>
      </c>
      <c r="I15" s="21">
        <f>Staffing!E69</f>
        <v>1499292.9549189378</v>
      </c>
      <c r="J15" s="21">
        <f>Staffing!F69</f>
        <v>1512292.6813875509</v>
      </c>
      <c r="K15" s="67">
        <f>Staffing!G69</f>
        <v>1525037.4575468618</v>
      </c>
      <c r="L15" s="11"/>
      <c r="M15" s="11"/>
    </row>
    <row r="16" spans="1:13" x14ac:dyDescent="0.25">
      <c r="A16" s="8" t="s">
        <v>70</v>
      </c>
      <c r="B16" s="1">
        <v>5</v>
      </c>
      <c r="C16" s="6" t="s">
        <v>36</v>
      </c>
      <c r="D16" s="6"/>
      <c r="E16" s="66" t="s">
        <v>10</v>
      </c>
      <c r="F16" s="4">
        <f>Staffing!B70</f>
        <v>2059000</v>
      </c>
      <c r="G16" s="4">
        <f>Staffing!C70</f>
        <v>2096624.32</v>
      </c>
      <c r="H16" s="4">
        <f>Staffing!D70</f>
        <v>2135022.5264960001</v>
      </c>
      <c r="I16" s="4">
        <f>Staffing!E70</f>
        <v>2174211.3549189381</v>
      </c>
      <c r="J16" s="4">
        <f>Staffing!F70</f>
        <v>2214207.8173875506</v>
      </c>
      <c r="K16" s="68">
        <f>Staffing!G70</f>
        <v>2255029.1989868619</v>
      </c>
      <c r="L16" s="11"/>
      <c r="M16" s="11"/>
    </row>
    <row r="17" spans="1:13" x14ac:dyDescent="0.25">
      <c r="A17" s="8" t="s">
        <v>71</v>
      </c>
      <c r="B17" s="1">
        <v>-1</v>
      </c>
      <c r="C17" s="6" t="s">
        <v>36</v>
      </c>
      <c r="D17" s="6"/>
      <c r="E17" s="70" t="s">
        <v>32</v>
      </c>
      <c r="F17" s="21">
        <f>Staffing!B71</f>
        <v>21725000</v>
      </c>
      <c r="G17" s="21">
        <f>Staffing!C71</f>
        <v>22265177.300000001</v>
      </c>
      <c r="H17" s="21">
        <f>Staffing!D71</f>
        <v>22819786.001320001</v>
      </c>
      <c r="I17" s="21">
        <f>Staffing!E71</f>
        <v>23389197.253612246</v>
      </c>
      <c r="J17" s="21">
        <f>Staffing!F71</f>
        <v>23973789.033248655</v>
      </c>
      <c r="K17" s="67">
        <f>Staffing!G71</f>
        <v>24573946.03408036</v>
      </c>
      <c r="L17" s="11"/>
      <c r="M17" s="11"/>
    </row>
    <row r="18" spans="1:13" x14ac:dyDescent="0.25">
      <c r="A18" s="8" t="s">
        <v>41</v>
      </c>
      <c r="B18" s="30">
        <v>0.02</v>
      </c>
      <c r="C18" s="6" t="s">
        <v>82</v>
      </c>
      <c r="D18" s="6"/>
      <c r="E18" s="38"/>
      <c r="F18" s="27"/>
      <c r="G18" s="27"/>
      <c r="H18" s="27"/>
      <c r="I18" s="27"/>
      <c r="J18" s="27"/>
      <c r="K18" s="58"/>
      <c r="L18" s="11"/>
      <c r="M18" s="11"/>
    </row>
    <row r="19" spans="1:13" ht="15.75" thickBot="1" x14ac:dyDescent="0.3">
      <c r="A19" s="11"/>
      <c r="B19" s="12"/>
      <c r="C19" s="11"/>
      <c r="D19" s="11"/>
      <c r="E19" s="71" t="s">
        <v>33</v>
      </c>
      <c r="F19" s="72">
        <f t="shared" ref="F19:K19" si="8">F9-F17</f>
        <v>4583000</v>
      </c>
      <c r="G19" s="72">
        <f t="shared" si="8"/>
        <v>1439120.0790624991</v>
      </c>
      <c r="H19" s="72">
        <f t="shared" si="8"/>
        <v>-315376.9340506345</v>
      </c>
      <c r="I19" s="72">
        <f t="shared" si="8"/>
        <v>-1660341.4515401907</v>
      </c>
      <c r="J19" s="72">
        <f t="shared" si="8"/>
        <v>-2923214.2369203195</v>
      </c>
      <c r="K19" s="73">
        <f t="shared" si="8"/>
        <v>-4241060.5592973083</v>
      </c>
      <c r="L19" s="11"/>
      <c r="M19" s="11"/>
    </row>
    <row r="20" spans="1:13" x14ac:dyDescent="0.25">
      <c r="A20" s="7" t="s">
        <v>56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8" t="s">
        <v>1</v>
      </c>
      <c r="B21" s="30">
        <v>0.02</v>
      </c>
      <c r="C21" s="6"/>
      <c r="D21" s="6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8" t="s">
        <v>68</v>
      </c>
      <c r="B22" s="30">
        <v>0.45</v>
      </c>
      <c r="C22" s="6" t="s">
        <v>39</v>
      </c>
      <c r="D22" s="6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8" t="s">
        <v>69</v>
      </c>
      <c r="B23" s="30">
        <v>0.1</v>
      </c>
      <c r="C23" s="6"/>
      <c r="D23" s="6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8" t="s">
        <v>78</v>
      </c>
      <c r="B24" s="30">
        <v>0.02</v>
      </c>
      <c r="C24" s="6" t="s">
        <v>40</v>
      </c>
      <c r="D24" s="6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8" t="s">
        <v>79</v>
      </c>
      <c r="B25" s="30">
        <v>0</v>
      </c>
      <c r="C25" s="6"/>
      <c r="D25" s="6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83"/>
      <c r="B26" s="23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8" t="s">
        <v>5</v>
      </c>
      <c r="B27" s="2">
        <v>2021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1"/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6EAE-6469-47B7-AC92-C4C09F936CD4}">
  <dimension ref="A1:O124"/>
  <sheetViews>
    <sheetView topLeftCell="A73" zoomScaleNormal="100" workbookViewId="0">
      <selection activeCell="A80" sqref="A80:A103"/>
    </sheetView>
  </sheetViews>
  <sheetFormatPr defaultRowHeight="15" x14ac:dyDescent="0.25"/>
  <cols>
    <col min="1" max="1" width="47" customWidth="1"/>
    <col min="2" max="2" width="12" customWidth="1"/>
    <col min="3" max="5" width="13.42578125" customWidth="1"/>
    <col min="6" max="8" width="12.140625" customWidth="1"/>
  </cols>
  <sheetData>
    <row r="1" spans="1:15" x14ac:dyDescent="0.25">
      <c r="A1" s="74" t="str">
        <f>Summary!A1</f>
        <v>Runaway Valley College</v>
      </c>
      <c r="B1" s="6"/>
      <c r="C1" s="122"/>
      <c r="D1" s="8" t="s">
        <v>116</v>
      </c>
      <c r="E1" s="124">
        <f>Summary!B3</f>
        <v>-0.02</v>
      </c>
      <c r="F1" s="6" t="s">
        <v>117</v>
      </c>
      <c r="G1" s="6"/>
      <c r="H1" s="6"/>
      <c r="I1" s="11"/>
      <c r="J1" s="11"/>
      <c r="K1" s="11"/>
      <c r="L1" s="11"/>
      <c r="M1" s="11"/>
      <c r="N1" s="11"/>
      <c r="O1" s="11"/>
    </row>
    <row r="2" spans="1:15" x14ac:dyDescent="0.25">
      <c r="A2" s="11"/>
      <c r="B2" s="9" t="s">
        <v>95</v>
      </c>
      <c r="C2" s="123">
        <f>Summary!F3</f>
        <v>2022</v>
      </c>
      <c r="D2" s="123">
        <f>Summary!G3</f>
        <v>2023</v>
      </c>
      <c r="E2" s="123">
        <f>Summary!H3</f>
        <v>2024</v>
      </c>
      <c r="F2" s="123">
        <f>Summary!I3</f>
        <v>2025</v>
      </c>
      <c r="G2" s="123">
        <f>Summary!J3</f>
        <v>2026</v>
      </c>
      <c r="H2" s="123">
        <f>Summary!K3</f>
        <v>2027</v>
      </c>
      <c r="I2" s="11"/>
      <c r="J2" s="11"/>
      <c r="K2" s="11"/>
      <c r="L2" s="11"/>
      <c r="M2" s="11"/>
      <c r="N2" s="11"/>
      <c r="O2" s="11"/>
    </row>
    <row r="3" spans="1:15" x14ac:dyDescent="0.25">
      <c r="A3" s="8" t="s">
        <v>96</v>
      </c>
      <c r="B3" s="10" t="s">
        <v>49</v>
      </c>
      <c r="C3" s="91">
        <v>350</v>
      </c>
      <c r="D3" s="3">
        <f>C3*(1+$E$1)</f>
        <v>343</v>
      </c>
      <c r="E3" s="3">
        <f>D3*(1+$E$1)</f>
        <v>336.14</v>
      </c>
      <c r="F3" s="3">
        <f>E3*(1+$E$1)</f>
        <v>329.41719999999998</v>
      </c>
      <c r="G3" s="3">
        <f>F3*(1+$E$1)</f>
        <v>322.82885599999997</v>
      </c>
      <c r="H3" s="3">
        <f>G3*(1+$E$1)</f>
        <v>316.37227887999995</v>
      </c>
      <c r="I3" s="11"/>
      <c r="J3" s="11"/>
      <c r="K3" s="11"/>
      <c r="L3" s="11"/>
      <c r="M3" s="11"/>
      <c r="N3" s="11"/>
      <c r="O3" s="11"/>
    </row>
    <row r="4" spans="1:15" x14ac:dyDescent="0.25">
      <c r="A4" s="8" t="s">
        <v>97</v>
      </c>
      <c r="B4" s="95">
        <v>0.4</v>
      </c>
      <c r="C4" s="3">
        <f t="shared" ref="C4:H4" si="0">C3*$B$4</f>
        <v>140</v>
      </c>
      <c r="D4" s="3">
        <f t="shared" si="0"/>
        <v>137.20000000000002</v>
      </c>
      <c r="E4" s="3">
        <f t="shared" si="0"/>
        <v>134.45599999999999</v>
      </c>
      <c r="F4" s="3">
        <f t="shared" si="0"/>
        <v>131.76687999999999</v>
      </c>
      <c r="G4" s="3">
        <f t="shared" si="0"/>
        <v>129.1315424</v>
      </c>
      <c r="H4" s="3">
        <f t="shared" si="0"/>
        <v>126.54891155199999</v>
      </c>
      <c r="I4" s="11"/>
      <c r="J4" s="11"/>
      <c r="K4" s="11"/>
      <c r="L4" s="11"/>
      <c r="M4" s="11"/>
      <c r="N4" s="11"/>
      <c r="O4" s="11"/>
    </row>
    <row r="5" spans="1:15" x14ac:dyDescent="0.25">
      <c r="A5" s="8" t="s">
        <v>98</v>
      </c>
      <c r="B5" s="96"/>
      <c r="C5" s="1">
        <v>900</v>
      </c>
      <c r="D5" s="21">
        <f>C6-C17-C24+C31+C33-C37+C39</f>
        <v>661.9</v>
      </c>
      <c r="E5" s="21">
        <f>D6-D17-D24+D31+D33-D37+D39</f>
        <v>578.59325000000013</v>
      </c>
      <c r="F5" s="21">
        <f>E6-E17-E24+E31+E33-E37+E39</f>
        <v>541.04208812500008</v>
      </c>
      <c r="G5" s="21">
        <f>F6-F17-F24+F31+F33-F37+F39</f>
        <v>518.96648562031248</v>
      </c>
      <c r="H5" s="21">
        <f>G6-G17-G24+G31+G33-G37+G39</f>
        <v>503.09600142792578</v>
      </c>
      <c r="I5" s="11"/>
      <c r="J5" s="11"/>
      <c r="K5" s="11"/>
      <c r="L5" s="11"/>
      <c r="M5" s="11"/>
      <c r="N5" s="11"/>
      <c r="O5" s="11"/>
    </row>
    <row r="6" spans="1:15" x14ac:dyDescent="0.25">
      <c r="A6" s="8" t="s">
        <v>99</v>
      </c>
      <c r="B6" s="96"/>
      <c r="C6" s="21">
        <f t="shared" ref="C6:H6" si="1">C5-C16-C23+C30+C32-C36+C38</f>
        <v>852</v>
      </c>
      <c r="D6" s="21">
        <f t="shared" si="1"/>
        <v>712.87500000000011</v>
      </c>
      <c r="E6" s="21">
        <f t="shared" si="1"/>
        <v>656.81343750000019</v>
      </c>
      <c r="F6" s="21">
        <f t="shared" si="1"/>
        <v>626.87957109374997</v>
      </c>
      <c r="G6" s="21">
        <f t="shared" si="1"/>
        <v>606.57262786523438</v>
      </c>
      <c r="H6" s="21">
        <f t="shared" si="1"/>
        <v>590.49073913544419</v>
      </c>
      <c r="I6" s="11"/>
      <c r="J6" s="11"/>
      <c r="K6" s="11"/>
      <c r="L6" s="11"/>
      <c r="M6" s="11"/>
      <c r="N6" s="11"/>
      <c r="O6" s="11"/>
    </row>
    <row r="7" spans="1:15" x14ac:dyDescent="0.25">
      <c r="A7" s="8" t="s">
        <v>100</v>
      </c>
      <c r="B7" s="97">
        <f>B4</f>
        <v>0.4</v>
      </c>
      <c r="C7" s="1">
        <v>20</v>
      </c>
      <c r="D7" s="3">
        <f>C7*(1+$E$1)</f>
        <v>19.600000000000001</v>
      </c>
      <c r="E7" s="3">
        <f>D7*(1+$E$1)</f>
        <v>19.208000000000002</v>
      </c>
      <c r="F7" s="3">
        <f>E7*(1+$E$1)</f>
        <v>18.823840000000001</v>
      </c>
      <c r="G7" s="3">
        <f>F7*(1+$E$1)</f>
        <v>18.447363200000002</v>
      </c>
      <c r="H7" s="3">
        <f>G7*(1+$E$1)</f>
        <v>18.078415936000003</v>
      </c>
      <c r="I7" s="11"/>
      <c r="J7" s="11"/>
      <c r="K7" s="11"/>
      <c r="L7" s="11"/>
      <c r="M7" s="11"/>
      <c r="N7" s="11"/>
      <c r="O7" s="11"/>
    </row>
    <row r="8" spans="1:15" x14ac:dyDescent="0.25">
      <c r="A8" s="8" t="s">
        <v>101</v>
      </c>
      <c r="B8" s="83"/>
      <c r="C8" s="3">
        <f t="shared" ref="C8:H8" si="2">C7*$B$4</f>
        <v>8</v>
      </c>
      <c r="D8" s="3">
        <f t="shared" si="2"/>
        <v>7.8400000000000007</v>
      </c>
      <c r="E8" s="3">
        <f t="shared" si="2"/>
        <v>7.6832000000000011</v>
      </c>
      <c r="F8" s="3">
        <f t="shared" si="2"/>
        <v>7.5295360000000002</v>
      </c>
      <c r="G8" s="3">
        <f t="shared" si="2"/>
        <v>7.3789452800000008</v>
      </c>
      <c r="H8" s="3">
        <f t="shared" si="2"/>
        <v>7.2313663744000012</v>
      </c>
      <c r="I8" s="11"/>
      <c r="J8" s="11"/>
      <c r="K8" s="11"/>
      <c r="L8" s="11"/>
      <c r="M8" s="11"/>
      <c r="N8" s="11"/>
      <c r="O8" s="11"/>
    </row>
    <row r="9" spans="1:15" x14ac:dyDescent="0.25">
      <c r="A9" s="8" t="s">
        <v>102</v>
      </c>
      <c r="B9" s="83"/>
      <c r="C9" s="125">
        <v>300</v>
      </c>
      <c r="D9" s="21">
        <f>C10-C21-C26+C29+C35+C37-C39</f>
        <v>393.75000000000006</v>
      </c>
      <c r="E9" s="21">
        <f>D10-D21-D26+D29+D35+D37-D39</f>
        <v>388.2468750000001</v>
      </c>
      <c r="F9" s="21">
        <f>E10-E21-E26+E29+E35+E37-E39</f>
        <v>368.38174218750004</v>
      </c>
      <c r="G9" s="21">
        <f>F10-F21-F26+F29+F35+F37-F39</f>
        <v>350.84915373046886</v>
      </c>
      <c r="H9" s="21">
        <f>G10-G21-G26+G29+G35+G37-G39</f>
        <v>337.27473581088861</v>
      </c>
      <c r="I9" s="11"/>
      <c r="J9" s="11"/>
      <c r="K9" s="11"/>
      <c r="L9" s="11"/>
      <c r="M9" s="11"/>
      <c r="N9" s="11"/>
      <c r="O9" s="11"/>
    </row>
    <row r="10" spans="1:15" x14ac:dyDescent="0.25">
      <c r="A10" s="8" t="s">
        <v>103</v>
      </c>
      <c r="B10" s="92"/>
      <c r="C10" s="4">
        <f t="shared" ref="C10:H10" si="3">C9-C20-C25+C28+C34+C36-C38</f>
        <v>379</v>
      </c>
      <c r="D10" s="4">
        <f t="shared" si="3"/>
        <v>403.24250000000006</v>
      </c>
      <c r="E10" s="4">
        <f t="shared" si="3"/>
        <v>386.20905625000012</v>
      </c>
      <c r="F10" s="4">
        <f t="shared" si="3"/>
        <v>366.72285364062503</v>
      </c>
      <c r="G10" s="4">
        <f t="shared" si="3"/>
        <v>351.09296260785158</v>
      </c>
      <c r="H10" s="4">
        <f t="shared" si="3"/>
        <v>338.98509753446643</v>
      </c>
      <c r="I10" s="11"/>
      <c r="J10" s="11"/>
      <c r="K10" s="11"/>
      <c r="L10" s="11"/>
      <c r="M10" s="11"/>
      <c r="N10" s="11"/>
      <c r="O10" s="11"/>
    </row>
    <row r="11" spans="1:15" x14ac:dyDescent="0.25">
      <c r="A11" s="8" t="s">
        <v>104</v>
      </c>
      <c r="B11" s="83"/>
      <c r="C11" s="21">
        <f t="shared" ref="C11:H12" si="4">C3+C5+C7+C9</f>
        <v>1570</v>
      </c>
      <c r="D11" s="21">
        <f t="shared" si="4"/>
        <v>1418.25</v>
      </c>
      <c r="E11" s="21">
        <f t="shared" si="4"/>
        <v>1322.1881250000001</v>
      </c>
      <c r="F11" s="21">
        <f t="shared" si="4"/>
        <v>1257.6648703125002</v>
      </c>
      <c r="G11" s="21">
        <f t="shared" si="4"/>
        <v>1211.0918585507814</v>
      </c>
      <c r="H11" s="21">
        <f t="shared" si="4"/>
        <v>1174.8214320548145</v>
      </c>
      <c r="I11" s="11"/>
      <c r="J11" s="11"/>
      <c r="K11" s="11"/>
      <c r="L11" s="11"/>
      <c r="M11" s="11"/>
      <c r="N11" s="11"/>
      <c r="O11" s="11"/>
    </row>
    <row r="12" spans="1:15" x14ac:dyDescent="0.25">
      <c r="A12" s="8" t="s">
        <v>105</v>
      </c>
      <c r="B12" s="83"/>
      <c r="C12" s="21">
        <f t="shared" si="4"/>
        <v>1379</v>
      </c>
      <c r="D12" s="21">
        <f t="shared" si="4"/>
        <v>1261.1575000000003</v>
      </c>
      <c r="E12" s="21">
        <f t="shared" si="4"/>
        <v>1185.1616937500003</v>
      </c>
      <c r="F12" s="21">
        <f t="shared" si="4"/>
        <v>1132.898840734375</v>
      </c>
      <c r="G12" s="21">
        <f t="shared" si="4"/>
        <v>1094.1760781530859</v>
      </c>
      <c r="H12" s="21">
        <f t="shared" si="4"/>
        <v>1063.2561145963107</v>
      </c>
      <c r="I12" s="11"/>
      <c r="J12" s="11"/>
      <c r="K12" s="11"/>
      <c r="L12" s="11"/>
      <c r="M12" s="11"/>
      <c r="N12" s="11"/>
      <c r="O12" s="11"/>
    </row>
    <row r="13" spans="1:15" x14ac:dyDescent="0.25">
      <c r="A13" s="7" t="s">
        <v>48</v>
      </c>
      <c r="B13" s="24" t="s">
        <v>47</v>
      </c>
      <c r="C13" s="22"/>
      <c r="D13" s="22"/>
      <c r="E13" s="22"/>
      <c r="F13" s="22"/>
      <c r="G13" s="22"/>
      <c r="H13" s="22"/>
      <c r="I13" s="11"/>
      <c r="J13" s="11"/>
      <c r="K13" s="11"/>
      <c r="L13" s="11"/>
      <c r="M13" s="11"/>
      <c r="N13" s="11"/>
      <c r="O13" s="11"/>
    </row>
    <row r="14" spans="1:15" x14ac:dyDescent="0.25">
      <c r="A14" s="8" t="str">
        <f t="shared" ref="A14:A21" si="5">A3</f>
        <v>New students, Full-time, fall</v>
      </c>
      <c r="B14" s="30">
        <v>0.1</v>
      </c>
      <c r="C14" s="21">
        <f t="shared" ref="C14:H14" si="6">$B$14*C3</f>
        <v>35</v>
      </c>
      <c r="D14" s="21">
        <f t="shared" si="6"/>
        <v>34.300000000000004</v>
      </c>
      <c r="E14" s="21">
        <f t="shared" si="6"/>
        <v>33.613999999999997</v>
      </c>
      <c r="F14" s="21">
        <f t="shared" si="6"/>
        <v>32.941719999999997</v>
      </c>
      <c r="G14" s="21">
        <f t="shared" si="6"/>
        <v>32.2828856</v>
      </c>
      <c r="H14" s="21">
        <f t="shared" si="6"/>
        <v>31.637227887999998</v>
      </c>
      <c r="I14" s="11"/>
      <c r="J14" s="11"/>
      <c r="K14" s="11"/>
      <c r="L14" s="11"/>
      <c r="M14" s="11"/>
      <c r="N14" s="11"/>
      <c r="O14" s="11"/>
    </row>
    <row r="15" spans="1:15" x14ac:dyDescent="0.25">
      <c r="A15" s="8" t="str">
        <f t="shared" si="5"/>
        <v>New students, Full-time, spring</v>
      </c>
      <c r="B15" s="99">
        <f>B14</f>
        <v>0.1</v>
      </c>
      <c r="C15" s="21">
        <f t="shared" ref="C15:H21" si="7">$B15*C4</f>
        <v>14</v>
      </c>
      <c r="D15" s="21">
        <f t="shared" si="7"/>
        <v>13.720000000000002</v>
      </c>
      <c r="E15" s="21">
        <f t="shared" si="7"/>
        <v>13.445599999999999</v>
      </c>
      <c r="F15" s="21">
        <f t="shared" si="7"/>
        <v>13.176687999999999</v>
      </c>
      <c r="G15" s="21">
        <f t="shared" si="7"/>
        <v>12.913154240000001</v>
      </c>
      <c r="H15" s="21">
        <f t="shared" si="7"/>
        <v>12.6548911552</v>
      </c>
      <c r="I15" s="11"/>
      <c r="J15" s="11"/>
      <c r="K15" s="11"/>
      <c r="L15" s="11"/>
      <c r="M15" s="11"/>
      <c r="N15" s="11"/>
      <c r="O15" s="11"/>
    </row>
    <row r="16" spans="1:15" x14ac:dyDescent="0.25">
      <c r="A16" s="8" t="str">
        <f t="shared" si="5"/>
        <v>Continuing students, Full-time, fall</v>
      </c>
      <c r="B16" s="30">
        <v>0.05</v>
      </c>
      <c r="C16" s="21">
        <f t="shared" si="7"/>
        <v>45</v>
      </c>
      <c r="D16" s="21">
        <f t="shared" si="7"/>
        <v>33.094999999999999</v>
      </c>
      <c r="E16" s="21">
        <f t="shared" si="7"/>
        <v>28.929662500000006</v>
      </c>
      <c r="F16" s="21">
        <f t="shared" si="7"/>
        <v>27.052104406250006</v>
      </c>
      <c r="G16" s="21">
        <f t="shared" si="7"/>
        <v>25.948324281015626</v>
      </c>
      <c r="H16" s="21">
        <f t="shared" si="7"/>
        <v>25.154800071396291</v>
      </c>
      <c r="I16" s="11"/>
      <c r="J16" s="11"/>
      <c r="K16" s="11"/>
      <c r="L16" s="11"/>
      <c r="M16" s="11"/>
      <c r="N16" s="11"/>
      <c r="O16" s="11"/>
    </row>
    <row r="17" spans="1:15" x14ac:dyDescent="0.25">
      <c r="A17" s="8" t="str">
        <f t="shared" si="5"/>
        <v>Continuing students, Full-time, spring</v>
      </c>
      <c r="B17" s="99">
        <f>B16</f>
        <v>0.05</v>
      </c>
      <c r="C17" s="21">
        <f t="shared" si="7"/>
        <v>42.6</v>
      </c>
      <c r="D17" s="21">
        <f t="shared" si="7"/>
        <v>35.643750000000004</v>
      </c>
      <c r="E17" s="21">
        <f t="shared" si="7"/>
        <v>32.840671875000012</v>
      </c>
      <c r="F17" s="21">
        <f t="shared" si="7"/>
        <v>31.343978554687499</v>
      </c>
      <c r="G17" s="21">
        <f t="shared" si="7"/>
        <v>30.32863139326172</v>
      </c>
      <c r="H17" s="21">
        <f t="shared" si="7"/>
        <v>29.524536956772209</v>
      </c>
      <c r="I17" s="11"/>
      <c r="J17" s="11"/>
      <c r="K17" s="11"/>
      <c r="L17" s="11"/>
      <c r="M17" s="11"/>
      <c r="N17" s="11"/>
      <c r="O17" s="11"/>
    </row>
    <row r="18" spans="1:15" x14ac:dyDescent="0.25">
      <c r="A18" s="8" t="str">
        <f t="shared" si="5"/>
        <v>New students, Part-time, fall</v>
      </c>
      <c r="B18" s="30">
        <v>0.2</v>
      </c>
      <c r="C18" s="21">
        <f t="shared" si="7"/>
        <v>4</v>
      </c>
      <c r="D18" s="21">
        <f t="shared" si="7"/>
        <v>3.9200000000000004</v>
      </c>
      <c r="E18" s="21">
        <f t="shared" si="7"/>
        <v>3.8416000000000006</v>
      </c>
      <c r="F18" s="21">
        <f t="shared" si="7"/>
        <v>3.7647680000000001</v>
      </c>
      <c r="G18" s="21">
        <f t="shared" si="7"/>
        <v>3.6894726400000004</v>
      </c>
      <c r="H18" s="21">
        <f t="shared" si="7"/>
        <v>3.6156831872000006</v>
      </c>
      <c r="I18" s="11"/>
      <c r="J18" s="11"/>
      <c r="K18" s="11"/>
      <c r="L18" s="11"/>
      <c r="M18" s="11"/>
      <c r="N18" s="11"/>
      <c r="O18" s="11"/>
    </row>
    <row r="19" spans="1:15" x14ac:dyDescent="0.25">
      <c r="A19" s="8" t="str">
        <f t="shared" si="5"/>
        <v>New students, Part-time, spring</v>
      </c>
      <c r="B19" s="99">
        <f>B18</f>
        <v>0.2</v>
      </c>
      <c r="C19" s="21">
        <f t="shared" si="7"/>
        <v>1.6</v>
      </c>
      <c r="D19" s="21">
        <f t="shared" si="7"/>
        <v>1.5680000000000003</v>
      </c>
      <c r="E19" s="21">
        <f t="shared" si="7"/>
        <v>1.5366400000000002</v>
      </c>
      <c r="F19" s="21">
        <f t="shared" si="7"/>
        <v>1.5059072000000002</v>
      </c>
      <c r="G19" s="21">
        <f t="shared" si="7"/>
        <v>1.4757890560000002</v>
      </c>
      <c r="H19" s="21">
        <f t="shared" si="7"/>
        <v>1.4462732748800002</v>
      </c>
      <c r="I19" s="11"/>
      <c r="J19" s="11"/>
      <c r="K19" s="11"/>
      <c r="L19" s="11"/>
      <c r="M19" s="11"/>
      <c r="N19" s="11"/>
      <c r="O19" s="11"/>
    </row>
    <row r="20" spans="1:15" x14ac:dyDescent="0.25">
      <c r="A20" s="8" t="str">
        <f t="shared" si="5"/>
        <v>Continuing students, Part-time, fall</v>
      </c>
      <c r="B20" s="30">
        <v>0.15</v>
      </c>
      <c r="C20" s="21">
        <f t="shared" si="7"/>
        <v>45</v>
      </c>
      <c r="D20" s="21">
        <f t="shared" si="7"/>
        <v>59.062500000000007</v>
      </c>
      <c r="E20" s="21">
        <f t="shared" si="7"/>
        <v>58.237031250000015</v>
      </c>
      <c r="F20" s="21">
        <f t="shared" si="7"/>
        <v>55.257261328125004</v>
      </c>
      <c r="G20" s="21">
        <f t="shared" si="7"/>
        <v>52.627373059570324</v>
      </c>
      <c r="H20" s="21">
        <f t="shared" si="7"/>
        <v>50.591210371633288</v>
      </c>
      <c r="I20" s="11"/>
      <c r="J20" s="11"/>
      <c r="K20" s="11"/>
      <c r="L20" s="11"/>
      <c r="M20" s="11"/>
      <c r="N20" s="11"/>
      <c r="O20" s="11"/>
    </row>
    <row r="21" spans="1:15" x14ac:dyDescent="0.25">
      <c r="A21" s="8" t="str">
        <f t="shared" si="5"/>
        <v>Continuing students, Part-time, spring</v>
      </c>
      <c r="B21" s="99">
        <f>B20</f>
        <v>0.15</v>
      </c>
      <c r="C21" s="21">
        <f t="shared" si="7"/>
        <v>56.85</v>
      </c>
      <c r="D21" s="21">
        <f t="shared" si="7"/>
        <v>60.48637500000001</v>
      </c>
      <c r="E21" s="21">
        <f t="shared" si="7"/>
        <v>57.931358437500016</v>
      </c>
      <c r="F21" s="21">
        <f t="shared" si="7"/>
        <v>55.008428046093755</v>
      </c>
      <c r="G21" s="21">
        <f t="shared" si="7"/>
        <v>52.663944391177736</v>
      </c>
      <c r="H21" s="21">
        <f t="shared" si="7"/>
        <v>50.847764630169962</v>
      </c>
      <c r="I21" s="11"/>
      <c r="J21" s="11"/>
      <c r="K21" s="11"/>
      <c r="L21" s="11"/>
      <c r="M21" s="11"/>
      <c r="N21" s="11"/>
      <c r="O21" s="11"/>
    </row>
    <row r="22" spans="1:15" x14ac:dyDescent="0.25">
      <c r="A22" s="7" t="s">
        <v>45</v>
      </c>
      <c r="B22" s="98"/>
      <c r="C22" s="22"/>
      <c r="D22" s="22"/>
      <c r="E22" s="22"/>
      <c r="F22" s="22"/>
      <c r="G22" s="22"/>
      <c r="H22" s="22"/>
      <c r="I22" s="11"/>
      <c r="J22" s="11"/>
      <c r="K22" s="11"/>
      <c r="L22" s="11"/>
      <c r="M22" s="11"/>
      <c r="N22" s="11"/>
      <c r="O22" s="11"/>
    </row>
    <row r="23" spans="1:15" x14ac:dyDescent="0.25">
      <c r="A23" s="8" t="str">
        <f>A5</f>
        <v>Continuing students, Full-time, fall</v>
      </c>
      <c r="B23" s="30">
        <v>0.2</v>
      </c>
      <c r="C23" s="21">
        <f t="shared" ref="C23:H24" si="8">$B$23*C5</f>
        <v>180</v>
      </c>
      <c r="D23" s="21">
        <f t="shared" si="8"/>
        <v>132.38</v>
      </c>
      <c r="E23" s="21">
        <f t="shared" si="8"/>
        <v>115.71865000000003</v>
      </c>
      <c r="F23" s="21">
        <f t="shared" si="8"/>
        <v>108.20841762500002</v>
      </c>
      <c r="G23" s="21">
        <f t="shared" si="8"/>
        <v>103.79329712406251</v>
      </c>
      <c r="H23" s="21">
        <f t="shared" si="8"/>
        <v>100.61920028558517</v>
      </c>
      <c r="I23" s="11"/>
      <c r="J23" s="11"/>
      <c r="K23" s="11"/>
      <c r="L23" s="11"/>
      <c r="M23" s="11"/>
      <c r="N23" s="11"/>
      <c r="O23" s="11"/>
    </row>
    <row r="24" spans="1:15" x14ac:dyDescent="0.25">
      <c r="A24" s="8" t="str">
        <f>A6</f>
        <v>Continuing students, Full-time, spring</v>
      </c>
      <c r="B24" s="99">
        <f>B23</f>
        <v>0.2</v>
      </c>
      <c r="C24" s="21">
        <f t="shared" si="8"/>
        <v>170.4</v>
      </c>
      <c r="D24" s="21">
        <f t="shared" si="8"/>
        <v>142.57500000000002</v>
      </c>
      <c r="E24" s="21">
        <f t="shared" si="8"/>
        <v>131.36268750000005</v>
      </c>
      <c r="F24" s="21">
        <f t="shared" si="8"/>
        <v>125.37591421875</v>
      </c>
      <c r="G24" s="21">
        <f t="shared" si="8"/>
        <v>121.31452557304688</v>
      </c>
      <c r="H24" s="21">
        <f t="shared" si="8"/>
        <v>118.09814782708884</v>
      </c>
      <c r="I24" s="11"/>
      <c r="J24" s="11"/>
      <c r="K24" s="11"/>
      <c r="L24" s="11"/>
      <c r="M24" s="11"/>
      <c r="N24" s="11"/>
      <c r="O24" s="11"/>
    </row>
    <row r="25" spans="1:15" x14ac:dyDescent="0.25">
      <c r="A25" s="8" t="str">
        <f>A9</f>
        <v>Continuing students, Part-time, fall</v>
      </c>
      <c r="B25" s="30">
        <v>0.1</v>
      </c>
      <c r="C25" s="21">
        <f t="shared" ref="C25:H26" si="9">$B$25*C9</f>
        <v>30</v>
      </c>
      <c r="D25" s="21">
        <f t="shared" si="9"/>
        <v>39.375000000000007</v>
      </c>
      <c r="E25" s="21">
        <f t="shared" si="9"/>
        <v>38.82468750000001</v>
      </c>
      <c r="F25" s="21">
        <f t="shared" si="9"/>
        <v>36.838174218750005</v>
      </c>
      <c r="G25" s="21">
        <f t="shared" si="9"/>
        <v>35.08491537304689</v>
      </c>
      <c r="H25" s="21">
        <f t="shared" si="9"/>
        <v>33.727473581088866</v>
      </c>
      <c r="I25" s="11"/>
      <c r="J25" s="11"/>
      <c r="K25" s="11"/>
      <c r="L25" s="11"/>
      <c r="M25" s="11"/>
      <c r="N25" s="11"/>
      <c r="O25" s="11"/>
    </row>
    <row r="26" spans="1:15" x14ac:dyDescent="0.25">
      <c r="A26" s="8" t="str">
        <f>A10</f>
        <v>Continuing students, Part-time, spring</v>
      </c>
      <c r="B26" s="99">
        <f>B25</f>
        <v>0.1</v>
      </c>
      <c r="C26" s="21">
        <f t="shared" si="9"/>
        <v>37.9</v>
      </c>
      <c r="D26" s="21">
        <f t="shared" si="9"/>
        <v>40.324250000000006</v>
      </c>
      <c r="E26" s="21">
        <f t="shared" si="9"/>
        <v>38.620905625000013</v>
      </c>
      <c r="F26" s="21">
        <f t="shared" si="9"/>
        <v>36.672285364062503</v>
      </c>
      <c r="G26" s="21">
        <f t="shared" si="9"/>
        <v>35.109296260785158</v>
      </c>
      <c r="H26" s="21">
        <f t="shared" si="9"/>
        <v>33.898509753446646</v>
      </c>
      <c r="I26" s="11"/>
      <c r="J26" s="11"/>
      <c r="K26" s="11"/>
      <c r="L26" s="11"/>
      <c r="M26" s="11"/>
      <c r="N26" s="11"/>
      <c r="O26" s="11"/>
    </row>
    <row r="27" spans="1:15" x14ac:dyDescent="0.25">
      <c r="A27" s="7" t="s">
        <v>46</v>
      </c>
      <c r="B27" s="98"/>
      <c r="C27" s="22"/>
      <c r="D27" s="22"/>
      <c r="E27" s="22"/>
      <c r="F27" s="22"/>
      <c r="G27" s="22"/>
      <c r="H27" s="22"/>
      <c r="I27" s="11"/>
      <c r="J27" s="11"/>
      <c r="K27" s="11"/>
      <c r="L27" s="11"/>
      <c r="M27" s="11"/>
      <c r="N27" s="11"/>
      <c r="O27" s="11"/>
    </row>
    <row r="28" spans="1:15" x14ac:dyDescent="0.25">
      <c r="A28" s="8" t="s">
        <v>106</v>
      </c>
      <c r="B28" s="30">
        <v>0.1</v>
      </c>
      <c r="C28" s="21">
        <f t="shared" ref="C28:H29" si="10">$B28*C3</f>
        <v>35</v>
      </c>
      <c r="D28" s="21">
        <f t="shared" si="10"/>
        <v>34.300000000000004</v>
      </c>
      <c r="E28" s="21">
        <f t="shared" si="10"/>
        <v>33.613999999999997</v>
      </c>
      <c r="F28" s="21">
        <f t="shared" si="10"/>
        <v>32.941719999999997</v>
      </c>
      <c r="G28" s="21">
        <f t="shared" si="10"/>
        <v>32.2828856</v>
      </c>
      <c r="H28" s="21">
        <f t="shared" si="10"/>
        <v>31.637227887999998</v>
      </c>
      <c r="I28" s="11"/>
      <c r="J28" s="11"/>
      <c r="K28" s="11"/>
      <c r="L28" s="11"/>
      <c r="M28" s="11"/>
      <c r="N28" s="11"/>
      <c r="O28" s="11"/>
    </row>
    <row r="29" spans="1:15" x14ac:dyDescent="0.25">
      <c r="A29" s="8" t="s">
        <v>107</v>
      </c>
      <c r="B29" s="99">
        <f>B28</f>
        <v>0.1</v>
      </c>
      <c r="C29" s="21">
        <f t="shared" si="10"/>
        <v>14</v>
      </c>
      <c r="D29" s="21">
        <f t="shared" si="10"/>
        <v>13.720000000000002</v>
      </c>
      <c r="E29" s="21">
        <f t="shared" si="10"/>
        <v>13.445599999999999</v>
      </c>
      <c r="F29" s="21">
        <f t="shared" si="10"/>
        <v>13.176687999999999</v>
      </c>
      <c r="G29" s="21">
        <f t="shared" si="10"/>
        <v>12.913154240000001</v>
      </c>
      <c r="H29" s="21">
        <f t="shared" si="10"/>
        <v>12.6548911552</v>
      </c>
      <c r="I29" s="11"/>
      <c r="J29" s="11"/>
      <c r="K29" s="11"/>
      <c r="L29" s="11"/>
      <c r="M29" s="11"/>
      <c r="N29" s="11"/>
      <c r="O29" s="11"/>
    </row>
    <row r="30" spans="1:15" x14ac:dyDescent="0.25">
      <c r="A30" s="8" t="s">
        <v>148</v>
      </c>
      <c r="B30" s="99">
        <f>1-B14-B28</f>
        <v>0.8</v>
      </c>
      <c r="C30" s="21">
        <f t="shared" ref="C30:H30" si="11">$B$30*C3</f>
        <v>280</v>
      </c>
      <c r="D30" s="21">
        <f t="shared" si="11"/>
        <v>274.40000000000003</v>
      </c>
      <c r="E30" s="21">
        <f t="shared" si="11"/>
        <v>268.91199999999998</v>
      </c>
      <c r="F30" s="21">
        <f t="shared" si="11"/>
        <v>263.53375999999997</v>
      </c>
      <c r="G30" s="21">
        <f t="shared" si="11"/>
        <v>258.2630848</v>
      </c>
      <c r="H30" s="21">
        <f t="shared" si="11"/>
        <v>253.09782310399999</v>
      </c>
      <c r="I30" s="11"/>
      <c r="J30" s="11"/>
      <c r="K30" s="11"/>
      <c r="L30" s="11"/>
      <c r="M30" s="11"/>
      <c r="N30" s="11"/>
      <c r="O30" s="11"/>
    </row>
    <row r="31" spans="1:15" x14ac:dyDescent="0.25">
      <c r="A31" s="8" t="s">
        <v>149</v>
      </c>
      <c r="B31" s="99">
        <f>1-B15-B29</f>
        <v>0.8</v>
      </c>
      <c r="C31" s="21">
        <f t="shared" ref="C31:H31" si="12">$B$31*C4</f>
        <v>112</v>
      </c>
      <c r="D31" s="21">
        <f t="shared" si="12"/>
        <v>109.76000000000002</v>
      </c>
      <c r="E31" s="21">
        <f t="shared" si="12"/>
        <v>107.56479999999999</v>
      </c>
      <c r="F31" s="21">
        <f t="shared" si="12"/>
        <v>105.41350399999999</v>
      </c>
      <c r="G31" s="21">
        <f t="shared" si="12"/>
        <v>103.30523392000001</v>
      </c>
      <c r="H31" s="21">
        <f t="shared" si="12"/>
        <v>101.2391292416</v>
      </c>
      <c r="I31" s="11"/>
      <c r="J31" s="11"/>
      <c r="K31" s="11"/>
      <c r="L31" s="11"/>
      <c r="M31" s="11"/>
      <c r="N31" s="11"/>
      <c r="O31" s="11"/>
    </row>
    <row r="32" spans="1:15" x14ac:dyDescent="0.25">
      <c r="A32" s="8" t="s">
        <v>108</v>
      </c>
      <c r="B32" s="30">
        <v>0.1</v>
      </c>
      <c r="C32" s="21">
        <f t="shared" ref="C32:H32" si="13">$B$32*C7</f>
        <v>2</v>
      </c>
      <c r="D32" s="21">
        <f t="shared" si="13"/>
        <v>1.9600000000000002</v>
      </c>
      <c r="E32" s="21">
        <f t="shared" si="13"/>
        <v>1.9208000000000003</v>
      </c>
      <c r="F32" s="21">
        <f t="shared" si="13"/>
        <v>1.8823840000000001</v>
      </c>
      <c r="G32" s="21">
        <f t="shared" si="13"/>
        <v>1.8447363200000002</v>
      </c>
      <c r="H32" s="21">
        <f t="shared" si="13"/>
        <v>1.8078415936000003</v>
      </c>
      <c r="I32" s="11"/>
      <c r="J32" s="11"/>
      <c r="K32" s="11"/>
      <c r="L32" s="11"/>
      <c r="M32" s="11"/>
      <c r="N32" s="11"/>
      <c r="O32" s="11"/>
    </row>
    <row r="33" spans="1:15" x14ac:dyDescent="0.25">
      <c r="A33" s="8" t="s">
        <v>109</v>
      </c>
      <c r="B33" s="99">
        <f>B32</f>
        <v>0.1</v>
      </c>
      <c r="C33" s="21">
        <f t="shared" ref="C33:H33" si="14">$B$33*C8</f>
        <v>0.8</v>
      </c>
      <c r="D33" s="21">
        <f t="shared" si="14"/>
        <v>0.78400000000000014</v>
      </c>
      <c r="E33" s="21">
        <f t="shared" si="14"/>
        <v>0.76832000000000011</v>
      </c>
      <c r="F33" s="21">
        <f t="shared" si="14"/>
        <v>0.75295360000000011</v>
      </c>
      <c r="G33" s="21">
        <f t="shared" si="14"/>
        <v>0.73789452800000011</v>
      </c>
      <c r="H33" s="21">
        <f t="shared" si="14"/>
        <v>0.72313663744000012</v>
      </c>
      <c r="I33" s="11"/>
      <c r="J33" s="11"/>
      <c r="K33" s="11"/>
      <c r="L33" s="11"/>
      <c r="M33" s="11"/>
      <c r="N33" s="11"/>
      <c r="O33" s="11"/>
    </row>
    <row r="34" spans="1:15" x14ac:dyDescent="0.25">
      <c r="A34" s="8" t="s">
        <v>110</v>
      </c>
      <c r="B34" s="99">
        <f>1-B18-B32</f>
        <v>0.70000000000000007</v>
      </c>
      <c r="C34" s="21">
        <f t="shared" ref="C34:H34" si="15">$B$34*C7</f>
        <v>14.000000000000002</v>
      </c>
      <c r="D34" s="21">
        <f t="shared" si="15"/>
        <v>13.720000000000002</v>
      </c>
      <c r="E34" s="21">
        <f t="shared" si="15"/>
        <v>13.445600000000002</v>
      </c>
      <c r="F34" s="21">
        <f t="shared" si="15"/>
        <v>13.176688000000002</v>
      </c>
      <c r="G34" s="21">
        <f t="shared" si="15"/>
        <v>12.913154240000003</v>
      </c>
      <c r="H34" s="21">
        <f t="shared" si="15"/>
        <v>12.654891155200003</v>
      </c>
      <c r="I34" s="11"/>
      <c r="J34" s="11"/>
      <c r="K34" s="11"/>
      <c r="L34" s="11"/>
      <c r="M34" s="11"/>
      <c r="N34" s="11"/>
      <c r="O34" s="11"/>
    </row>
    <row r="35" spans="1:15" x14ac:dyDescent="0.25">
      <c r="A35" s="8" t="s">
        <v>111</v>
      </c>
      <c r="B35" s="99">
        <f>B34</f>
        <v>0.70000000000000007</v>
      </c>
      <c r="C35" s="21">
        <f t="shared" ref="C35:H35" si="16">$B$35*C8</f>
        <v>5.6000000000000005</v>
      </c>
      <c r="D35" s="21">
        <f t="shared" si="16"/>
        <v>5.4880000000000013</v>
      </c>
      <c r="E35" s="21">
        <f t="shared" si="16"/>
        <v>5.3782400000000017</v>
      </c>
      <c r="F35" s="21">
        <f t="shared" si="16"/>
        <v>5.2706752000000003</v>
      </c>
      <c r="G35" s="21">
        <f t="shared" si="16"/>
        <v>5.1652616960000008</v>
      </c>
      <c r="H35" s="21">
        <f t="shared" si="16"/>
        <v>5.0619564620800013</v>
      </c>
      <c r="I35" s="11"/>
      <c r="J35" s="11"/>
      <c r="K35" s="11"/>
      <c r="L35" s="11"/>
      <c r="M35" s="11"/>
      <c r="N35" s="11"/>
      <c r="O35" s="11"/>
    </row>
    <row r="36" spans="1:15" x14ac:dyDescent="0.25">
      <c r="A36" s="8" t="s">
        <v>112</v>
      </c>
      <c r="B36" s="30">
        <v>0.15</v>
      </c>
      <c r="C36" s="21">
        <f t="shared" ref="C36:H36" si="17">$B$36*C5</f>
        <v>135</v>
      </c>
      <c r="D36" s="21">
        <f t="shared" si="17"/>
        <v>99.284999999999997</v>
      </c>
      <c r="E36" s="21">
        <f t="shared" si="17"/>
        <v>86.788987500000019</v>
      </c>
      <c r="F36" s="21">
        <f t="shared" si="17"/>
        <v>81.156313218750014</v>
      </c>
      <c r="G36" s="21">
        <f t="shared" si="17"/>
        <v>77.844972843046875</v>
      </c>
      <c r="H36" s="21">
        <f t="shared" si="17"/>
        <v>75.464400214188871</v>
      </c>
      <c r="I36" s="11"/>
      <c r="J36" s="11"/>
      <c r="K36" s="11"/>
      <c r="L36" s="11"/>
      <c r="M36" s="11"/>
      <c r="N36" s="11"/>
      <c r="O36" s="11"/>
    </row>
    <row r="37" spans="1:15" x14ac:dyDescent="0.25">
      <c r="A37" s="8" t="s">
        <v>113</v>
      </c>
      <c r="B37" s="99">
        <f>B36</f>
        <v>0.15</v>
      </c>
      <c r="C37" s="21">
        <f t="shared" ref="C37:H37" si="18">$B$37*C6</f>
        <v>127.8</v>
      </c>
      <c r="D37" s="21">
        <f t="shared" si="18"/>
        <v>106.93125000000002</v>
      </c>
      <c r="E37" s="21">
        <f t="shared" si="18"/>
        <v>98.522015625000023</v>
      </c>
      <c r="F37" s="21">
        <f t="shared" si="18"/>
        <v>94.031935664062487</v>
      </c>
      <c r="G37" s="21">
        <f t="shared" si="18"/>
        <v>90.985894179785149</v>
      </c>
      <c r="H37" s="21">
        <f t="shared" si="18"/>
        <v>88.573610870316628</v>
      </c>
      <c r="I37" s="11"/>
      <c r="J37" s="11"/>
      <c r="K37" s="11"/>
      <c r="L37" s="11"/>
      <c r="M37" s="11"/>
      <c r="N37" s="11"/>
      <c r="O37" s="11"/>
    </row>
    <row r="38" spans="1:15" x14ac:dyDescent="0.25">
      <c r="A38" s="8" t="s">
        <v>114</v>
      </c>
      <c r="B38" s="30">
        <v>0.1</v>
      </c>
      <c r="C38" s="21">
        <f t="shared" ref="C38:H38" si="19">$B$38*C9</f>
        <v>30</v>
      </c>
      <c r="D38" s="21">
        <f t="shared" si="19"/>
        <v>39.375000000000007</v>
      </c>
      <c r="E38" s="21">
        <f t="shared" si="19"/>
        <v>38.82468750000001</v>
      </c>
      <c r="F38" s="21">
        <f t="shared" si="19"/>
        <v>36.838174218750005</v>
      </c>
      <c r="G38" s="21">
        <f t="shared" si="19"/>
        <v>35.08491537304689</v>
      </c>
      <c r="H38" s="21">
        <f t="shared" si="19"/>
        <v>33.727473581088866</v>
      </c>
      <c r="I38" s="11"/>
      <c r="J38" s="11"/>
      <c r="K38" s="11"/>
      <c r="L38" s="11"/>
      <c r="M38" s="11"/>
      <c r="N38" s="11"/>
      <c r="O38" s="11"/>
    </row>
    <row r="39" spans="1:15" x14ac:dyDescent="0.25">
      <c r="A39" s="8" t="s">
        <v>115</v>
      </c>
      <c r="B39" s="99">
        <f>B38</f>
        <v>0.1</v>
      </c>
      <c r="C39" s="21">
        <f t="shared" ref="C39:H39" si="20">$B$39*C10</f>
        <v>37.9</v>
      </c>
      <c r="D39" s="21">
        <f t="shared" si="20"/>
        <v>40.324250000000006</v>
      </c>
      <c r="E39" s="21">
        <f t="shared" si="20"/>
        <v>38.620905625000013</v>
      </c>
      <c r="F39" s="21">
        <f t="shared" si="20"/>
        <v>36.672285364062503</v>
      </c>
      <c r="G39" s="21">
        <f t="shared" si="20"/>
        <v>35.109296260785158</v>
      </c>
      <c r="H39" s="21">
        <f t="shared" si="20"/>
        <v>33.898509753446646</v>
      </c>
      <c r="I39" s="11"/>
      <c r="J39" s="11"/>
      <c r="K39" s="11"/>
      <c r="L39" s="11"/>
      <c r="M39" s="11"/>
      <c r="N39" s="11"/>
      <c r="O39" s="11"/>
    </row>
    <row r="40" spans="1:15" x14ac:dyDescent="0.25">
      <c r="A40" s="19" t="s">
        <v>50</v>
      </c>
      <c r="B40" s="22"/>
      <c r="C40" s="22"/>
      <c r="D40" s="22"/>
      <c r="E40" s="22"/>
      <c r="F40" s="22"/>
      <c r="G40" s="22"/>
      <c r="H40" s="22"/>
      <c r="I40" s="11"/>
      <c r="J40" s="11"/>
      <c r="K40" s="11"/>
      <c r="L40" s="11"/>
      <c r="M40" s="11"/>
      <c r="N40" s="11"/>
      <c r="O40" s="11"/>
    </row>
    <row r="41" spans="1:15" x14ac:dyDescent="0.25">
      <c r="A41" s="8" t="s">
        <v>118</v>
      </c>
      <c r="B41" s="22"/>
      <c r="C41" s="21">
        <f t="shared" ref="C41:H42" si="21">C11</f>
        <v>1570</v>
      </c>
      <c r="D41" s="127">
        <f t="shared" si="21"/>
        <v>1418.25</v>
      </c>
      <c r="E41" s="127">
        <f t="shared" si="21"/>
        <v>1322.1881250000001</v>
      </c>
      <c r="F41" s="127">
        <f t="shared" si="21"/>
        <v>1257.6648703125002</v>
      </c>
      <c r="G41" s="127">
        <f t="shared" si="21"/>
        <v>1211.0918585507814</v>
      </c>
      <c r="H41" s="127">
        <f t="shared" si="21"/>
        <v>1174.8214320548145</v>
      </c>
      <c r="I41" s="11"/>
      <c r="J41" s="11"/>
      <c r="K41" s="11"/>
      <c r="L41" s="11"/>
      <c r="M41" s="11"/>
      <c r="N41" s="11"/>
      <c r="O41" s="11"/>
    </row>
    <row r="42" spans="1:15" x14ac:dyDescent="0.25">
      <c r="A42" s="8" t="s">
        <v>119</v>
      </c>
      <c r="B42" s="22"/>
      <c r="C42" s="126">
        <f t="shared" si="21"/>
        <v>1379</v>
      </c>
      <c r="D42" s="126">
        <f t="shared" si="21"/>
        <v>1261.1575000000003</v>
      </c>
      <c r="E42" s="126">
        <f t="shared" si="21"/>
        <v>1185.1616937500003</v>
      </c>
      <c r="F42" s="126">
        <f t="shared" si="21"/>
        <v>1132.898840734375</v>
      </c>
      <c r="G42" s="126">
        <f t="shared" si="21"/>
        <v>1094.1760781530859</v>
      </c>
      <c r="H42" s="126">
        <f t="shared" si="21"/>
        <v>1063.2561145963107</v>
      </c>
      <c r="I42" s="11"/>
      <c r="J42" s="11"/>
      <c r="K42" s="11"/>
      <c r="L42" s="11"/>
      <c r="M42" s="11"/>
      <c r="N42" s="11"/>
      <c r="O42" s="11"/>
    </row>
    <row r="43" spans="1:15" x14ac:dyDescent="0.25">
      <c r="A43" s="8" t="s">
        <v>120</v>
      </c>
      <c r="B43" s="22"/>
      <c r="C43" s="21">
        <f>-(C14+C16+C18+C20)</f>
        <v>-129</v>
      </c>
      <c r="D43" s="21">
        <f t="shared" ref="D43:H43" si="22">-(D14+D16+D18+D20)</f>
        <v>-130.37750000000003</v>
      </c>
      <c r="E43" s="21">
        <f t="shared" si="22"/>
        <v>-124.62229375000003</v>
      </c>
      <c r="F43" s="21">
        <f t="shared" si="22"/>
        <v>-119.01585373437501</v>
      </c>
      <c r="G43" s="21">
        <f t="shared" si="22"/>
        <v>-114.54805558058595</v>
      </c>
      <c r="H43" s="21">
        <f t="shared" si="22"/>
        <v>-110.99892151822958</v>
      </c>
      <c r="I43" s="11"/>
      <c r="J43" s="11"/>
      <c r="K43" s="11"/>
      <c r="L43" s="11"/>
      <c r="M43" s="11"/>
      <c r="N43" s="11"/>
      <c r="O43" s="11"/>
    </row>
    <row r="44" spans="1:15" x14ac:dyDescent="0.25">
      <c r="A44" s="8" t="s">
        <v>121</v>
      </c>
      <c r="B44" s="22"/>
      <c r="C44" s="21">
        <f>-(C15+C17+C19+C21)</f>
        <v>-115.05000000000001</v>
      </c>
      <c r="D44" s="21">
        <f t="shared" ref="D44:H44" si="23">-(D15+D17+D19+D21)</f>
        <v>-111.41812500000002</v>
      </c>
      <c r="E44" s="21">
        <f t="shared" si="23"/>
        <v>-105.75427031250003</v>
      </c>
      <c r="F44" s="21">
        <f t="shared" si="23"/>
        <v>-101.03500180078126</v>
      </c>
      <c r="G44" s="21">
        <f t="shared" si="23"/>
        <v>-97.38151908043946</v>
      </c>
      <c r="H44" s="21">
        <f t="shared" si="23"/>
        <v>-94.473466017022162</v>
      </c>
      <c r="I44" s="11"/>
      <c r="J44" s="11"/>
      <c r="K44" s="11"/>
      <c r="L44" s="11"/>
      <c r="M44" s="11"/>
      <c r="N44" s="11"/>
      <c r="O44" s="11"/>
    </row>
    <row r="45" spans="1:15" x14ac:dyDescent="0.25">
      <c r="A45" s="8" t="s">
        <v>122</v>
      </c>
      <c r="B45" s="22"/>
      <c r="C45" s="21">
        <f>-(C23+C25)</f>
        <v>-210</v>
      </c>
      <c r="D45" s="21">
        <f t="shared" ref="D45:H45" si="24">-(D23+D25)</f>
        <v>-171.755</v>
      </c>
      <c r="E45" s="21">
        <f t="shared" si="24"/>
        <v>-154.54333750000004</v>
      </c>
      <c r="F45" s="21">
        <f t="shared" si="24"/>
        <v>-145.04659184375004</v>
      </c>
      <c r="G45" s="21">
        <f t="shared" si="24"/>
        <v>-138.87821249710939</v>
      </c>
      <c r="H45" s="21">
        <f t="shared" si="24"/>
        <v>-134.34667386667402</v>
      </c>
      <c r="I45" s="11"/>
      <c r="J45" s="11"/>
      <c r="K45" s="11"/>
      <c r="L45" s="11"/>
      <c r="M45" s="11"/>
      <c r="N45" s="11"/>
      <c r="O45" s="11"/>
    </row>
    <row r="46" spans="1:15" x14ac:dyDescent="0.25">
      <c r="A46" s="8" t="s">
        <v>123</v>
      </c>
      <c r="B46" s="22"/>
      <c r="C46" s="21">
        <f>-(C24+C26)</f>
        <v>-208.3</v>
      </c>
      <c r="D46" s="21">
        <f t="shared" ref="D46:H46" si="25">-(D24+D26)</f>
        <v>-182.89925000000002</v>
      </c>
      <c r="E46" s="21">
        <f t="shared" si="25"/>
        <v>-169.98359312500006</v>
      </c>
      <c r="F46" s="21">
        <f t="shared" si="25"/>
        <v>-162.04819958281252</v>
      </c>
      <c r="G46" s="21">
        <f t="shared" si="25"/>
        <v>-156.42382183383205</v>
      </c>
      <c r="H46" s="21">
        <f t="shared" si="25"/>
        <v>-151.9966575805355</v>
      </c>
      <c r="I46" s="11"/>
      <c r="J46" s="11"/>
      <c r="K46" s="11"/>
      <c r="L46" s="11"/>
      <c r="M46" s="11"/>
      <c r="N46" s="11"/>
      <c r="O46" s="11"/>
    </row>
    <row r="47" spans="1:15" x14ac:dyDescent="0.25">
      <c r="A47" s="8" t="s">
        <v>124</v>
      </c>
      <c r="B47" s="22"/>
      <c r="C47" s="21">
        <f t="shared" ref="C47:H47" si="26">C4+C8</f>
        <v>148</v>
      </c>
      <c r="D47" s="21">
        <f t="shared" si="26"/>
        <v>145.04000000000002</v>
      </c>
      <c r="E47" s="21">
        <f t="shared" si="26"/>
        <v>142.13919999999999</v>
      </c>
      <c r="F47" s="21">
        <f t="shared" si="26"/>
        <v>139.29641599999999</v>
      </c>
      <c r="G47" s="21">
        <f t="shared" si="26"/>
        <v>136.51048768000001</v>
      </c>
      <c r="H47" s="21">
        <f t="shared" si="26"/>
        <v>133.7802779264</v>
      </c>
      <c r="I47" s="11"/>
      <c r="J47" s="11"/>
      <c r="K47" s="11"/>
      <c r="L47" s="11"/>
      <c r="M47" s="11"/>
      <c r="N47" s="11"/>
      <c r="O47" s="11"/>
    </row>
    <row r="48" spans="1:15" x14ac:dyDescent="0.25">
      <c r="A48" s="8" t="s">
        <v>125</v>
      </c>
      <c r="B48" s="22"/>
      <c r="C48" s="4">
        <f t="shared" ref="C48:H48" si="27">D3+D7</f>
        <v>362.6</v>
      </c>
      <c r="D48" s="4">
        <f t="shared" si="27"/>
        <v>355.34800000000001</v>
      </c>
      <c r="E48" s="4">
        <f t="shared" si="27"/>
        <v>348.24104</v>
      </c>
      <c r="F48" s="4">
        <f t="shared" si="27"/>
        <v>341.27621919999996</v>
      </c>
      <c r="G48" s="4">
        <f t="shared" si="27"/>
        <v>334.45069481599995</v>
      </c>
      <c r="H48" s="4">
        <f t="shared" si="27"/>
        <v>0</v>
      </c>
      <c r="I48" s="11"/>
      <c r="J48" s="11"/>
      <c r="K48" s="11"/>
      <c r="L48" s="11"/>
      <c r="M48" s="11"/>
      <c r="N48" s="11"/>
      <c r="O48" s="11"/>
    </row>
    <row r="49" spans="1:15" x14ac:dyDescent="0.25">
      <c r="A49" s="8" t="s">
        <v>126</v>
      </c>
      <c r="B49" s="22"/>
      <c r="C49" s="126">
        <f>C41+C43+C45+C47</f>
        <v>1379</v>
      </c>
      <c r="D49" s="126">
        <f t="shared" ref="D49:H49" si="28">D41+D43+D45+D47</f>
        <v>1261.1574999999998</v>
      </c>
      <c r="E49" s="126">
        <f t="shared" si="28"/>
        <v>1185.1616937500003</v>
      </c>
      <c r="F49" s="126">
        <f t="shared" si="28"/>
        <v>1132.898840734375</v>
      </c>
      <c r="G49" s="126">
        <f t="shared" si="28"/>
        <v>1094.1760781530861</v>
      </c>
      <c r="H49" s="126">
        <f t="shared" si="28"/>
        <v>1063.2561145963109</v>
      </c>
      <c r="I49" s="11"/>
      <c r="J49" s="11"/>
      <c r="K49" s="11"/>
      <c r="L49" s="11"/>
      <c r="M49" s="11"/>
      <c r="N49" s="11"/>
      <c r="O49" s="11"/>
    </row>
    <row r="50" spans="1:15" x14ac:dyDescent="0.25">
      <c r="A50" s="8" t="s">
        <v>127</v>
      </c>
      <c r="B50" s="22"/>
      <c r="C50" s="127">
        <f>C42+C44+C46+C48</f>
        <v>1418.25</v>
      </c>
      <c r="D50" s="127">
        <f t="shared" ref="D50:H50" si="29">D42+D44+D46+D48</f>
        <v>1322.1881250000004</v>
      </c>
      <c r="E50" s="127">
        <f t="shared" si="29"/>
        <v>1257.6648703125002</v>
      </c>
      <c r="F50" s="127">
        <f t="shared" si="29"/>
        <v>1211.0918585507814</v>
      </c>
      <c r="G50" s="127">
        <f t="shared" si="29"/>
        <v>1174.8214320548143</v>
      </c>
      <c r="H50" s="21">
        <f t="shared" si="29"/>
        <v>816.78599099875305</v>
      </c>
      <c r="I50" s="11"/>
      <c r="J50" s="11"/>
      <c r="K50" s="11"/>
      <c r="L50" s="11"/>
      <c r="M50" s="11"/>
      <c r="N50" s="11"/>
      <c r="O50" s="11"/>
    </row>
    <row r="51" spans="1:15" x14ac:dyDescent="0.25">
      <c r="A51" s="19" t="s">
        <v>51</v>
      </c>
      <c r="B51" s="24" t="s">
        <v>53</v>
      </c>
      <c r="C51" s="22"/>
      <c r="D51" s="22"/>
      <c r="E51" s="22"/>
      <c r="F51" s="22"/>
      <c r="G51" s="22"/>
      <c r="H51" s="22"/>
      <c r="I51" s="11"/>
      <c r="J51" s="11"/>
      <c r="K51" s="11"/>
      <c r="L51" s="11"/>
      <c r="M51" s="11"/>
      <c r="N51" s="11"/>
      <c r="O51" s="11"/>
    </row>
    <row r="52" spans="1:15" x14ac:dyDescent="0.25">
      <c r="A52" s="8" t="s">
        <v>96</v>
      </c>
      <c r="B52" s="1">
        <v>17</v>
      </c>
      <c r="C52" s="21">
        <f t="shared" ref="C52:H59" si="30">C3*$B52</f>
        <v>5950</v>
      </c>
      <c r="D52" s="21">
        <f t="shared" si="30"/>
        <v>5831</v>
      </c>
      <c r="E52" s="21">
        <f t="shared" si="30"/>
        <v>5714.38</v>
      </c>
      <c r="F52" s="21">
        <f t="shared" si="30"/>
        <v>5600.0923999999995</v>
      </c>
      <c r="G52" s="21">
        <f t="shared" si="30"/>
        <v>5488.0905519999997</v>
      </c>
      <c r="H52" s="21">
        <f t="shared" si="30"/>
        <v>5378.3287409599989</v>
      </c>
      <c r="I52" s="11"/>
      <c r="J52" s="11"/>
      <c r="K52" s="11"/>
      <c r="L52" s="11"/>
      <c r="M52" s="11"/>
      <c r="N52" s="11"/>
      <c r="O52" s="11"/>
    </row>
    <row r="53" spans="1:15" x14ac:dyDescent="0.25">
      <c r="A53" s="8" t="s">
        <v>97</v>
      </c>
      <c r="B53" s="21">
        <f>B52</f>
        <v>17</v>
      </c>
      <c r="C53" s="21">
        <f t="shared" si="30"/>
        <v>2380</v>
      </c>
      <c r="D53" s="21">
        <f t="shared" si="30"/>
        <v>2332.4</v>
      </c>
      <c r="E53" s="21">
        <f t="shared" si="30"/>
        <v>2285.752</v>
      </c>
      <c r="F53" s="21">
        <f t="shared" si="30"/>
        <v>2240.0369599999999</v>
      </c>
      <c r="G53" s="21">
        <f t="shared" si="30"/>
        <v>2195.2362208</v>
      </c>
      <c r="H53" s="21">
        <f t="shared" si="30"/>
        <v>2151.3314963839998</v>
      </c>
      <c r="I53" s="11"/>
      <c r="J53" s="11"/>
      <c r="K53" s="11"/>
      <c r="L53" s="11"/>
      <c r="M53" s="11"/>
      <c r="N53" s="11"/>
      <c r="O53" s="11"/>
    </row>
    <row r="54" spans="1:15" x14ac:dyDescent="0.25">
      <c r="A54" s="8" t="s">
        <v>98</v>
      </c>
      <c r="B54" s="1">
        <v>14</v>
      </c>
      <c r="C54" s="21">
        <f t="shared" si="30"/>
        <v>12600</v>
      </c>
      <c r="D54" s="21">
        <f t="shared" si="30"/>
        <v>9266.6</v>
      </c>
      <c r="E54" s="21">
        <f t="shared" si="30"/>
        <v>8100.3055000000022</v>
      </c>
      <c r="F54" s="21">
        <f t="shared" si="30"/>
        <v>7574.5892337500009</v>
      </c>
      <c r="G54" s="21">
        <f t="shared" si="30"/>
        <v>7265.5307986843745</v>
      </c>
      <c r="H54" s="21">
        <f t="shared" si="30"/>
        <v>7043.344019990961</v>
      </c>
      <c r="I54" s="11"/>
      <c r="J54" s="11"/>
      <c r="K54" s="11"/>
      <c r="L54" s="11"/>
      <c r="M54" s="11"/>
      <c r="N54" s="11"/>
      <c r="O54" s="11"/>
    </row>
    <row r="55" spans="1:15" x14ac:dyDescent="0.25">
      <c r="A55" s="8" t="s">
        <v>99</v>
      </c>
      <c r="B55" s="21">
        <f>B54</f>
        <v>14</v>
      </c>
      <c r="C55" s="21">
        <f t="shared" si="30"/>
        <v>11928</v>
      </c>
      <c r="D55" s="21">
        <f t="shared" si="30"/>
        <v>9980.2500000000018</v>
      </c>
      <c r="E55" s="21">
        <f t="shared" si="30"/>
        <v>9195.3881250000031</v>
      </c>
      <c r="F55" s="21">
        <f t="shared" si="30"/>
        <v>8776.3139953124992</v>
      </c>
      <c r="G55" s="21">
        <f t="shared" si="30"/>
        <v>8492.0167901132809</v>
      </c>
      <c r="H55" s="21">
        <f t="shared" si="30"/>
        <v>8266.8703478962179</v>
      </c>
      <c r="I55" s="11"/>
      <c r="J55" s="11"/>
      <c r="K55" s="11"/>
      <c r="L55" s="11"/>
      <c r="M55" s="11"/>
      <c r="N55" s="11"/>
      <c r="O55" s="11"/>
    </row>
    <row r="56" spans="1:15" x14ac:dyDescent="0.25">
      <c r="A56" s="8" t="s">
        <v>100</v>
      </c>
      <c r="B56" s="1">
        <v>7</v>
      </c>
      <c r="C56" s="21">
        <f t="shared" si="30"/>
        <v>140</v>
      </c>
      <c r="D56" s="21">
        <f t="shared" si="30"/>
        <v>137.20000000000002</v>
      </c>
      <c r="E56" s="21">
        <f t="shared" si="30"/>
        <v>134.45600000000002</v>
      </c>
      <c r="F56" s="21">
        <f t="shared" si="30"/>
        <v>131.76688000000001</v>
      </c>
      <c r="G56" s="21">
        <f t="shared" si="30"/>
        <v>129.1315424</v>
      </c>
      <c r="H56" s="21">
        <f t="shared" si="30"/>
        <v>126.54891155200002</v>
      </c>
      <c r="I56" s="11"/>
      <c r="J56" s="11"/>
      <c r="K56" s="11"/>
      <c r="L56" s="11"/>
      <c r="M56" s="11"/>
      <c r="N56" s="11"/>
      <c r="O56" s="11"/>
    </row>
    <row r="57" spans="1:15" x14ac:dyDescent="0.25">
      <c r="A57" s="8" t="s">
        <v>101</v>
      </c>
      <c r="B57" s="21">
        <f>B56</f>
        <v>7</v>
      </c>
      <c r="C57" s="21">
        <f t="shared" si="30"/>
        <v>56</v>
      </c>
      <c r="D57" s="21">
        <f t="shared" si="30"/>
        <v>54.88</v>
      </c>
      <c r="E57" s="21">
        <f t="shared" si="30"/>
        <v>53.78240000000001</v>
      </c>
      <c r="F57" s="21">
        <f t="shared" si="30"/>
        <v>52.706752000000002</v>
      </c>
      <c r="G57" s="21">
        <f t="shared" si="30"/>
        <v>51.652616960000003</v>
      </c>
      <c r="H57" s="21">
        <f t="shared" si="30"/>
        <v>50.619564620800006</v>
      </c>
      <c r="I57" s="11"/>
      <c r="J57" s="11"/>
      <c r="K57" s="11"/>
      <c r="L57" s="11"/>
      <c r="M57" s="11"/>
      <c r="N57" s="11"/>
      <c r="O57" s="11"/>
    </row>
    <row r="58" spans="1:15" x14ac:dyDescent="0.25">
      <c r="A58" s="8" t="s">
        <v>102</v>
      </c>
      <c r="B58" s="1">
        <v>4</v>
      </c>
      <c r="C58" s="21">
        <f t="shared" si="30"/>
        <v>1200</v>
      </c>
      <c r="D58" s="21">
        <f t="shared" si="30"/>
        <v>1575.0000000000002</v>
      </c>
      <c r="E58" s="21">
        <f t="shared" si="30"/>
        <v>1552.9875000000004</v>
      </c>
      <c r="F58" s="21">
        <f t="shared" si="30"/>
        <v>1473.5269687500002</v>
      </c>
      <c r="G58" s="21">
        <f t="shared" si="30"/>
        <v>1403.3966149218754</v>
      </c>
      <c r="H58" s="21">
        <f t="shared" si="30"/>
        <v>1349.0989432435545</v>
      </c>
      <c r="I58" s="11"/>
      <c r="J58" s="11"/>
      <c r="K58" s="11"/>
      <c r="L58" s="11"/>
      <c r="M58" s="11"/>
      <c r="N58" s="11"/>
      <c r="O58" s="11"/>
    </row>
    <row r="59" spans="1:15" x14ac:dyDescent="0.25">
      <c r="A59" s="8" t="s">
        <v>103</v>
      </c>
      <c r="B59" s="21">
        <f>B58</f>
        <v>4</v>
      </c>
      <c r="C59" s="4">
        <f t="shared" si="30"/>
        <v>1516</v>
      </c>
      <c r="D59" s="4">
        <f t="shared" si="30"/>
        <v>1612.9700000000003</v>
      </c>
      <c r="E59" s="4">
        <f t="shared" si="30"/>
        <v>1544.8362250000005</v>
      </c>
      <c r="F59" s="4">
        <f t="shared" si="30"/>
        <v>1466.8914145625001</v>
      </c>
      <c r="G59" s="4">
        <f t="shared" si="30"/>
        <v>1404.3718504314063</v>
      </c>
      <c r="H59" s="4">
        <f t="shared" si="30"/>
        <v>1355.9403901378657</v>
      </c>
      <c r="I59" s="11"/>
      <c r="J59" s="11"/>
      <c r="K59" s="11"/>
      <c r="L59" s="11"/>
      <c r="M59" s="11"/>
      <c r="N59" s="11"/>
      <c r="O59" s="11"/>
    </row>
    <row r="60" spans="1:15" x14ac:dyDescent="0.25">
      <c r="A60" s="8" t="s">
        <v>128</v>
      </c>
      <c r="B60" s="22"/>
      <c r="C60" s="21">
        <f t="shared" ref="C60:H61" si="31">C52+C54+C56+C58</f>
        <v>19890</v>
      </c>
      <c r="D60" s="21">
        <f t="shared" si="31"/>
        <v>16809.800000000003</v>
      </c>
      <c r="E60" s="21">
        <f t="shared" si="31"/>
        <v>15502.129000000004</v>
      </c>
      <c r="F60" s="21">
        <f t="shared" si="31"/>
        <v>14779.9754825</v>
      </c>
      <c r="G60" s="21">
        <f t="shared" si="31"/>
        <v>14286.14950800625</v>
      </c>
      <c r="H60" s="21">
        <f t="shared" si="31"/>
        <v>13897.320615746514</v>
      </c>
      <c r="I60" s="11"/>
      <c r="J60" s="11"/>
      <c r="K60" s="11"/>
      <c r="L60" s="11"/>
      <c r="M60" s="11"/>
      <c r="N60" s="11"/>
      <c r="O60" s="11"/>
    </row>
    <row r="61" spans="1:15" x14ac:dyDescent="0.25">
      <c r="A61" s="8" t="s">
        <v>129</v>
      </c>
      <c r="B61" s="11"/>
      <c r="C61" s="21">
        <f t="shared" si="31"/>
        <v>15880</v>
      </c>
      <c r="D61" s="21">
        <f t="shared" si="31"/>
        <v>13980.5</v>
      </c>
      <c r="E61" s="21">
        <f t="shared" si="31"/>
        <v>13079.758750000005</v>
      </c>
      <c r="F61" s="21">
        <f t="shared" si="31"/>
        <v>12535.949121874999</v>
      </c>
      <c r="G61" s="21">
        <f t="shared" si="31"/>
        <v>12143.277478304686</v>
      </c>
      <c r="H61" s="21">
        <f t="shared" si="31"/>
        <v>11824.761799038884</v>
      </c>
      <c r="I61" s="11"/>
      <c r="J61" s="11"/>
      <c r="K61" s="11"/>
      <c r="L61" s="11"/>
      <c r="M61" s="11"/>
      <c r="N61" s="11"/>
      <c r="O61" s="11"/>
    </row>
    <row r="62" spans="1:15" x14ac:dyDescent="0.25">
      <c r="A62" s="19" t="s">
        <v>54</v>
      </c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25">
      <c r="A63" s="8" t="s">
        <v>130</v>
      </c>
      <c r="B63" s="1">
        <v>16</v>
      </c>
      <c r="C63" s="21">
        <f t="shared" ref="C63:H63" si="32">C60/$B63</f>
        <v>1243.125</v>
      </c>
      <c r="D63" s="21">
        <f t="shared" si="32"/>
        <v>1050.6125000000002</v>
      </c>
      <c r="E63" s="21">
        <f t="shared" si="32"/>
        <v>968.88306250000028</v>
      </c>
      <c r="F63" s="21">
        <f t="shared" si="32"/>
        <v>923.74846765625</v>
      </c>
      <c r="G63" s="21">
        <f t="shared" si="32"/>
        <v>892.88434425039065</v>
      </c>
      <c r="H63" s="21">
        <f t="shared" si="32"/>
        <v>868.58253848415711</v>
      </c>
      <c r="I63" s="11"/>
      <c r="J63" s="11"/>
      <c r="K63" s="11"/>
      <c r="L63" s="11"/>
      <c r="M63" s="11"/>
      <c r="N63" s="11"/>
      <c r="O63" s="11"/>
    </row>
    <row r="64" spans="1:15" x14ac:dyDescent="0.25">
      <c r="A64" s="8" t="s">
        <v>131</v>
      </c>
      <c r="B64" s="25"/>
      <c r="C64" s="21">
        <f t="shared" ref="C64:H64" si="33">C61/$B63</f>
        <v>992.5</v>
      </c>
      <c r="D64" s="21">
        <f t="shared" si="33"/>
        <v>873.78125</v>
      </c>
      <c r="E64" s="21">
        <f t="shared" si="33"/>
        <v>817.48492187500028</v>
      </c>
      <c r="F64" s="21">
        <f t="shared" si="33"/>
        <v>783.49682011718744</v>
      </c>
      <c r="G64" s="21">
        <f t="shared" si="33"/>
        <v>758.95484239404288</v>
      </c>
      <c r="H64" s="21">
        <f t="shared" si="33"/>
        <v>739.04761243993028</v>
      </c>
      <c r="I64" s="11"/>
      <c r="J64" s="11"/>
      <c r="K64" s="11"/>
      <c r="L64" s="11"/>
      <c r="M64" s="11"/>
      <c r="N64" s="11"/>
      <c r="O64" s="11"/>
    </row>
    <row r="65" spans="1:15" x14ac:dyDescent="0.25">
      <c r="A65" s="11"/>
      <c r="B65" s="14"/>
      <c r="C65" s="14"/>
      <c r="D65" s="14"/>
      <c r="E65" s="14"/>
      <c r="F65" s="14"/>
      <c r="G65" s="14"/>
      <c r="H65" s="14"/>
      <c r="I65" s="11"/>
      <c r="J65" s="11"/>
      <c r="K65" s="11"/>
      <c r="L65" s="11"/>
      <c r="M65" s="11"/>
      <c r="N65" s="11"/>
      <c r="O65" s="11"/>
    </row>
    <row r="66" spans="1:15" x14ac:dyDescent="0.25">
      <c r="A66" s="7" t="s">
        <v>83</v>
      </c>
      <c r="B66" s="29" t="str">
        <f>"Annual Rate above Inflation, "&amp;TEXT(Summary!B21,"0.0%")</f>
        <v>Annual Rate above Inflation, 2.0%</v>
      </c>
      <c r="C66" s="75"/>
      <c r="D66" s="5"/>
      <c r="E66" s="5"/>
      <c r="F66" s="5"/>
      <c r="G66" s="5"/>
      <c r="H66" s="5"/>
      <c r="I66" s="11"/>
      <c r="J66" s="11"/>
      <c r="K66" s="11"/>
      <c r="L66" s="11"/>
      <c r="M66" s="11"/>
      <c r="N66" s="11"/>
      <c r="O66" s="11"/>
    </row>
    <row r="67" spans="1:15" x14ac:dyDescent="0.25">
      <c r="A67" s="8" t="s">
        <v>132</v>
      </c>
      <c r="B67" s="100">
        <f>Summary!B4</f>
        <v>0.03</v>
      </c>
      <c r="C67" s="26">
        <v>12000</v>
      </c>
      <c r="D67" s="5">
        <f>C67*(1+$B67+Summary!$B$21)</f>
        <v>12600</v>
      </c>
      <c r="E67" s="5">
        <f>D67*(1+$B67+Summary!$B$21)</f>
        <v>13230</v>
      </c>
      <c r="F67" s="5">
        <f>E67*(1+$B67+Summary!$B$21)</f>
        <v>13891.5</v>
      </c>
      <c r="G67" s="5">
        <f>F67*(1+$B67+Summary!$B$21)</f>
        <v>14586.075000000001</v>
      </c>
      <c r="H67" s="5">
        <f>G67*(1+$B67+Summary!$B$21)</f>
        <v>15315.378750000002</v>
      </c>
      <c r="I67" s="11"/>
      <c r="J67" s="11"/>
      <c r="K67" s="11"/>
      <c r="L67" s="11"/>
      <c r="M67" s="11"/>
      <c r="N67" s="11"/>
      <c r="O67" s="11"/>
    </row>
    <row r="68" spans="1:15" x14ac:dyDescent="0.25">
      <c r="A68" s="8" t="s">
        <v>133</v>
      </c>
      <c r="B68" s="25"/>
      <c r="C68" s="5">
        <f t="shared" ref="C68:H68" si="34">C67</f>
        <v>12000</v>
      </c>
      <c r="D68" s="5">
        <f t="shared" si="34"/>
        <v>12600</v>
      </c>
      <c r="E68" s="5">
        <f t="shared" si="34"/>
        <v>13230</v>
      </c>
      <c r="F68" s="5">
        <f t="shared" si="34"/>
        <v>13891.5</v>
      </c>
      <c r="G68" s="5">
        <f t="shared" si="34"/>
        <v>14586.075000000001</v>
      </c>
      <c r="H68" s="5">
        <f t="shared" si="34"/>
        <v>15315.378750000002</v>
      </c>
      <c r="I68" s="11"/>
      <c r="J68" s="11"/>
      <c r="K68" s="11"/>
      <c r="L68" s="11"/>
      <c r="M68" s="11"/>
      <c r="N68" s="11"/>
      <c r="O68" s="11"/>
    </row>
    <row r="69" spans="1:15" x14ac:dyDescent="0.25">
      <c r="A69" s="8" t="s">
        <v>134</v>
      </c>
      <c r="B69" s="99">
        <f>B67</f>
        <v>0.03</v>
      </c>
      <c r="C69" s="26">
        <v>1000</v>
      </c>
      <c r="D69" s="5">
        <f>C69*(1+$B69+Summary!$B$21)</f>
        <v>1050</v>
      </c>
      <c r="E69" s="5">
        <f>D69*(1+$B69+Summary!$B$21)</f>
        <v>1102.5</v>
      </c>
      <c r="F69" s="5">
        <f>E69*(1+$B69+Summary!$B$21)</f>
        <v>1157.625</v>
      </c>
      <c r="G69" s="5">
        <f>F69*(1+$B69+Summary!$B$21)</f>
        <v>1215.5062500000001</v>
      </c>
      <c r="H69" s="5">
        <f>G69*(1+$B69+Summary!$B$21)</f>
        <v>1276.2815625000003</v>
      </c>
      <c r="I69" s="11"/>
      <c r="J69" s="11"/>
      <c r="K69" s="11"/>
      <c r="L69" s="11"/>
      <c r="M69" s="11"/>
      <c r="N69" s="11"/>
      <c r="O69" s="11"/>
    </row>
    <row r="70" spans="1:15" s="28" customFormat="1" x14ac:dyDescent="0.25">
      <c r="A70" s="8" t="s">
        <v>135</v>
      </c>
      <c r="B70" s="25"/>
      <c r="C70" s="17">
        <f t="shared" ref="C70:H70" si="35">C69</f>
        <v>1000</v>
      </c>
      <c r="D70" s="17">
        <f t="shared" si="35"/>
        <v>1050</v>
      </c>
      <c r="E70" s="17">
        <f t="shared" si="35"/>
        <v>1102.5</v>
      </c>
      <c r="F70" s="17">
        <f t="shared" si="35"/>
        <v>1157.625</v>
      </c>
      <c r="G70" s="17">
        <f t="shared" si="35"/>
        <v>1215.5062500000001</v>
      </c>
      <c r="H70" s="17">
        <f t="shared" si="35"/>
        <v>1276.2815625000003</v>
      </c>
      <c r="I70" s="11"/>
      <c r="J70" s="11"/>
      <c r="K70" s="11"/>
      <c r="L70" s="11"/>
      <c r="M70" s="11"/>
      <c r="N70" s="11"/>
      <c r="O70" s="11"/>
    </row>
    <row r="71" spans="1:15" s="28" customFormat="1" x14ac:dyDescent="0.25">
      <c r="A71" s="25"/>
      <c r="B71" s="25"/>
      <c r="C71" s="25"/>
      <c r="D71" s="25"/>
      <c r="E71" s="25"/>
      <c r="F71" s="25"/>
      <c r="G71" s="25"/>
      <c r="H71" s="25"/>
      <c r="I71" s="11"/>
      <c r="J71" s="11"/>
      <c r="K71" s="11"/>
      <c r="L71" s="11"/>
      <c r="M71" s="11"/>
      <c r="N71" s="11"/>
      <c r="O71" s="11"/>
    </row>
    <row r="72" spans="1:15" x14ac:dyDescent="0.25">
      <c r="A72" s="7" t="s">
        <v>55</v>
      </c>
      <c r="B72" s="9" t="str">
        <f t="shared" ref="B72:H72" si="36">B2</f>
        <v>Year Ending:</v>
      </c>
      <c r="C72" s="123">
        <f t="shared" si="36"/>
        <v>2022</v>
      </c>
      <c r="D72" s="123">
        <f t="shared" si="36"/>
        <v>2023</v>
      </c>
      <c r="E72" s="123">
        <f t="shared" si="36"/>
        <v>2024</v>
      </c>
      <c r="F72" s="123">
        <f t="shared" si="36"/>
        <v>2025</v>
      </c>
      <c r="G72" s="123">
        <f t="shared" si="36"/>
        <v>2026</v>
      </c>
      <c r="H72" s="123">
        <f t="shared" si="36"/>
        <v>2027</v>
      </c>
      <c r="I72" s="11"/>
      <c r="J72" s="11"/>
      <c r="K72" s="11"/>
      <c r="L72" s="11"/>
      <c r="M72" s="11"/>
      <c r="N72" s="11"/>
      <c r="O72" s="11"/>
    </row>
    <row r="73" spans="1:15" x14ac:dyDescent="0.25">
      <c r="A73" s="8" t="s">
        <v>136</v>
      </c>
      <c r="B73" s="14"/>
      <c r="C73" s="5">
        <f t="shared" ref="C73:H74" si="37">C67*(C3+C5)</f>
        <v>15000000</v>
      </c>
      <c r="D73" s="5">
        <f t="shared" si="37"/>
        <v>12661740</v>
      </c>
      <c r="E73" s="5">
        <f t="shared" si="37"/>
        <v>12101920.897500001</v>
      </c>
      <c r="F73" s="5">
        <f t="shared" si="37"/>
        <v>12091985.200988438</v>
      </c>
      <c r="G73" s="5">
        <f t="shared" si="37"/>
        <v>12278489.9875245</v>
      </c>
      <c r="H73" s="5">
        <f t="shared" si="37"/>
        <v>12550467.086527051</v>
      </c>
      <c r="I73" s="11"/>
      <c r="J73" s="11"/>
      <c r="K73" s="11"/>
      <c r="L73" s="11"/>
      <c r="M73" s="11"/>
      <c r="N73" s="11"/>
      <c r="O73" s="11"/>
    </row>
    <row r="74" spans="1:15" x14ac:dyDescent="0.25">
      <c r="A74" s="8" t="s">
        <v>137</v>
      </c>
      <c r="B74" s="5"/>
      <c r="C74" s="5">
        <f t="shared" si="37"/>
        <v>11904000</v>
      </c>
      <c r="D74" s="5">
        <f t="shared" si="37"/>
        <v>10710945.000000002</v>
      </c>
      <c r="E74" s="5">
        <f t="shared" si="37"/>
        <v>10468494.658125002</v>
      </c>
      <c r="F74" s="5">
        <f t="shared" si="37"/>
        <v>10538737.175368829</v>
      </c>
      <c r="G74" s="5">
        <f t="shared" si="37"/>
        <v>10731036.205301479</v>
      </c>
      <c r="H74" s="5">
        <f t="shared" si="37"/>
        <v>10981733.829045907</v>
      </c>
      <c r="I74" s="11"/>
      <c r="J74" s="11"/>
      <c r="K74" s="11"/>
      <c r="L74" s="11"/>
      <c r="M74" s="11"/>
      <c r="N74" s="11"/>
      <c r="O74" s="11"/>
    </row>
    <row r="75" spans="1:15" x14ac:dyDescent="0.25">
      <c r="A75" s="8" t="s">
        <v>138</v>
      </c>
      <c r="B75" s="14"/>
      <c r="C75" s="17">
        <f>C69*(C56+C58)</f>
        <v>1340000</v>
      </c>
      <c r="D75" s="17">
        <f t="shared" ref="D75:H75" si="38">D69*(D56+D58)</f>
        <v>1797810.0000000002</v>
      </c>
      <c r="E75" s="17">
        <f t="shared" si="38"/>
        <v>1860406.4587500005</v>
      </c>
      <c r="F75" s="17">
        <f t="shared" si="38"/>
        <v>1858328.2916592187</v>
      </c>
      <c r="G75" s="17">
        <f t="shared" si="38"/>
        <v>1862797.5535257231</v>
      </c>
      <c r="H75" s="17">
        <f t="shared" si="38"/>
        <v>1883342.1498182437</v>
      </c>
      <c r="I75" s="11"/>
      <c r="J75" s="11"/>
      <c r="K75" s="11"/>
      <c r="L75" s="11"/>
      <c r="M75" s="11"/>
      <c r="N75" s="11"/>
      <c r="O75" s="11"/>
    </row>
    <row r="76" spans="1:15" x14ac:dyDescent="0.25">
      <c r="A76" s="8" t="s">
        <v>139</v>
      </c>
      <c r="B76" s="17"/>
      <c r="C76" s="18">
        <f>C70*(C57+C59)</f>
        <v>1572000</v>
      </c>
      <c r="D76" s="18">
        <f>D70*(D57+D59)</f>
        <v>1751242.5000000005</v>
      </c>
      <c r="E76" s="18">
        <f>E70*(E57+E59)</f>
        <v>1762477.0340625006</v>
      </c>
      <c r="F76" s="18">
        <f>F70*(F57+F59)</f>
        <v>1759124.8275669143</v>
      </c>
      <c r="G76" s="18">
        <f>G70*(G57+G59)</f>
        <v>1769806.8402671756</v>
      </c>
      <c r="H76" s="18">
        <f>H70*(H57+H59)</f>
        <v>1795166.5368093196</v>
      </c>
      <c r="I76" s="11"/>
      <c r="J76" s="11"/>
      <c r="K76" s="11"/>
      <c r="L76" s="11"/>
      <c r="M76" s="11"/>
      <c r="N76" s="11"/>
      <c r="O76" s="11"/>
    </row>
    <row r="77" spans="1:15" x14ac:dyDescent="0.25">
      <c r="A77" s="8" t="s">
        <v>128</v>
      </c>
      <c r="B77" s="14"/>
      <c r="C77" s="5">
        <f t="shared" ref="C77:H78" si="39">C73+C75</f>
        <v>16340000</v>
      </c>
      <c r="D77" s="5">
        <f t="shared" si="39"/>
        <v>14459550</v>
      </c>
      <c r="E77" s="5">
        <f t="shared" si="39"/>
        <v>13962327.356250001</v>
      </c>
      <c r="F77" s="5">
        <f t="shared" si="39"/>
        <v>13950313.492647657</v>
      </c>
      <c r="G77" s="5">
        <f t="shared" si="39"/>
        <v>14141287.541050224</v>
      </c>
      <c r="H77" s="5">
        <f t="shared" si="39"/>
        <v>14433809.236345295</v>
      </c>
      <c r="I77" s="11"/>
      <c r="J77" s="11"/>
      <c r="K77" s="11"/>
      <c r="L77" s="11"/>
      <c r="M77" s="11"/>
      <c r="N77" s="11"/>
      <c r="O77" s="11"/>
    </row>
    <row r="78" spans="1:15" x14ac:dyDescent="0.25">
      <c r="A78" s="8" t="s">
        <v>129</v>
      </c>
      <c r="B78" s="5"/>
      <c r="C78" s="5">
        <f t="shared" si="39"/>
        <v>13476000</v>
      </c>
      <c r="D78" s="5">
        <f t="shared" si="39"/>
        <v>12462187.500000002</v>
      </c>
      <c r="E78" s="5">
        <f t="shared" si="39"/>
        <v>12230971.692187503</v>
      </c>
      <c r="F78" s="5">
        <f t="shared" si="39"/>
        <v>12297862.002935743</v>
      </c>
      <c r="G78" s="5">
        <f t="shared" si="39"/>
        <v>12500843.045568654</v>
      </c>
      <c r="H78" s="5">
        <f t="shared" si="39"/>
        <v>12776900.365855226</v>
      </c>
      <c r="I78" s="11"/>
      <c r="J78" s="11"/>
      <c r="K78" s="11"/>
      <c r="L78" s="11"/>
      <c r="M78" s="11"/>
      <c r="N78" s="11"/>
      <c r="O78" s="11"/>
    </row>
    <row r="79" spans="1:15" x14ac:dyDescent="0.25">
      <c r="A79" s="83"/>
      <c r="B79" s="14"/>
      <c r="C79" s="14"/>
      <c r="D79" s="14"/>
      <c r="E79" s="14"/>
      <c r="F79" s="14"/>
      <c r="G79" s="14"/>
      <c r="H79" s="14"/>
      <c r="I79" s="11"/>
      <c r="J79" s="11"/>
      <c r="K79" s="11"/>
      <c r="L79" s="11"/>
      <c r="M79" s="11"/>
      <c r="N79" s="11"/>
      <c r="O79" s="11"/>
    </row>
    <row r="80" spans="1:15" x14ac:dyDescent="0.25">
      <c r="A80" s="7" t="s">
        <v>57</v>
      </c>
      <c r="B80" s="19" t="s">
        <v>59</v>
      </c>
      <c r="C80" s="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x14ac:dyDescent="0.25">
      <c r="A81" s="8" t="s">
        <v>140</v>
      </c>
      <c r="B81" s="101">
        <f>Summary!B5</f>
        <v>0.05</v>
      </c>
      <c r="C81" s="30">
        <v>0.6</v>
      </c>
      <c r="D81" s="31">
        <f>C82*(1+$B81)</f>
        <v>0.63</v>
      </c>
      <c r="E81" s="31">
        <f>D82*(1+$B81)</f>
        <v>0.66150000000000009</v>
      </c>
      <c r="F81" s="31">
        <f>E82*(1+$B81)</f>
        <v>0.69457500000000016</v>
      </c>
      <c r="G81" s="31">
        <f>F82*(1+$B81)</f>
        <v>0.72930375000000025</v>
      </c>
      <c r="H81" s="31">
        <f>G82*(1+$B81)</f>
        <v>0.7657689375000003</v>
      </c>
      <c r="I81" s="11"/>
      <c r="J81" s="11"/>
      <c r="K81" s="11"/>
      <c r="L81" s="11"/>
      <c r="M81" s="11"/>
      <c r="N81" s="11"/>
      <c r="O81" s="11"/>
    </row>
    <row r="82" spans="1:15" x14ac:dyDescent="0.25">
      <c r="A82" s="8" t="s">
        <v>141</v>
      </c>
      <c r="B82" s="11"/>
      <c r="C82" s="31">
        <f t="shared" ref="C82:H82" si="40">C81</f>
        <v>0.6</v>
      </c>
      <c r="D82" s="31">
        <f t="shared" si="40"/>
        <v>0.63</v>
      </c>
      <c r="E82" s="31">
        <f t="shared" si="40"/>
        <v>0.66150000000000009</v>
      </c>
      <c r="F82" s="31">
        <f t="shared" si="40"/>
        <v>0.69457500000000016</v>
      </c>
      <c r="G82" s="31">
        <f t="shared" si="40"/>
        <v>0.72930375000000025</v>
      </c>
      <c r="H82" s="31">
        <f t="shared" si="40"/>
        <v>0.7657689375000003</v>
      </c>
      <c r="I82" s="11"/>
      <c r="J82" s="11"/>
      <c r="K82" s="11"/>
      <c r="L82" s="11"/>
      <c r="M82" s="11"/>
      <c r="N82" s="11"/>
      <c r="O82" s="11"/>
    </row>
    <row r="83" spans="1:15" x14ac:dyDescent="0.25">
      <c r="A83" s="8" t="s">
        <v>142</v>
      </c>
      <c r="B83" s="32">
        <f>B81</f>
        <v>0.05</v>
      </c>
      <c r="C83" s="30">
        <v>0.3</v>
      </c>
      <c r="D83" s="31">
        <f>C84*(1+$B83)</f>
        <v>0.315</v>
      </c>
      <c r="E83" s="31">
        <f>D84*(1+$B83)</f>
        <v>0.33075000000000004</v>
      </c>
      <c r="F83" s="31">
        <f>E84*(1+$B83)</f>
        <v>0.34728750000000008</v>
      </c>
      <c r="G83" s="31">
        <f>F84*(1+$B83)</f>
        <v>0.36465187500000013</v>
      </c>
      <c r="H83" s="31">
        <f>G84*(1+$B83)</f>
        <v>0.38288446875000015</v>
      </c>
      <c r="I83" s="11"/>
      <c r="J83" s="11"/>
      <c r="K83" s="11"/>
      <c r="L83" s="11"/>
      <c r="M83" s="11"/>
      <c r="N83" s="11"/>
      <c r="O83" s="11"/>
    </row>
    <row r="84" spans="1:15" x14ac:dyDescent="0.25">
      <c r="A84" s="8" t="s">
        <v>143</v>
      </c>
      <c r="B84" s="11"/>
      <c r="C84" s="31">
        <f t="shared" ref="C84:H84" si="41">C83</f>
        <v>0.3</v>
      </c>
      <c r="D84" s="31">
        <f t="shared" si="41"/>
        <v>0.315</v>
      </c>
      <c r="E84" s="31">
        <f t="shared" si="41"/>
        <v>0.33075000000000004</v>
      </c>
      <c r="F84" s="31">
        <f t="shared" si="41"/>
        <v>0.34728750000000008</v>
      </c>
      <c r="G84" s="31">
        <f t="shared" si="41"/>
        <v>0.36465187500000013</v>
      </c>
      <c r="H84" s="31">
        <f t="shared" si="41"/>
        <v>0.38288446875000015</v>
      </c>
      <c r="I84" s="11"/>
      <c r="J84" s="11"/>
      <c r="K84" s="11"/>
      <c r="L84" s="11"/>
      <c r="M84" s="11"/>
      <c r="N84" s="11"/>
      <c r="O84" s="11"/>
    </row>
    <row r="85" spans="1:15" x14ac:dyDescent="0.25">
      <c r="A85" s="7" t="s">
        <v>60</v>
      </c>
      <c r="B85" s="19" t="s">
        <v>59</v>
      </c>
      <c r="C85" s="6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x14ac:dyDescent="0.25">
      <c r="A86" s="8" t="s">
        <v>140</v>
      </c>
      <c r="B86" s="102">
        <f>Summary!B7</f>
        <v>0.05</v>
      </c>
      <c r="C86" s="103">
        <f>Summary!B6</f>
        <v>0.5</v>
      </c>
      <c r="D86" s="31">
        <f>C87*(1+$B86)</f>
        <v>0.52500000000000002</v>
      </c>
      <c r="E86" s="31">
        <f>D87*(1+$B86)</f>
        <v>0.55125000000000002</v>
      </c>
      <c r="F86" s="31">
        <f>E87*(1+$B86)</f>
        <v>0.57881250000000006</v>
      </c>
      <c r="G86" s="31">
        <f>F87*(1+$B86)</f>
        <v>0.60775312500000012</v>
      </c>
      <c r="H86" s="31">
        <f>G87*(1+$B86)</f>
        <v>0.63814078125000018</v>
      </c>
      <c r="I86" s="11"/>
      <c r="J86" s="11"/>
      <c r="K86" s="11"/>
      <c r="L86" s="11"/>
      <c r="M86" s="11"/>
      <c r="N86" s="11"/>
      <c r="O86" s="11"/>
    </row>
    <row r="87" spans="1:15" x14ac:dyDescent="0.25">
      <c r="A87" s="8" t="s">
        <v>141</v>
      </c>
      <c r="B87" s="11"/>
      <c r="C87" s="32">
        <f t="shared" ref="C87:H87" si="42">C86</f>
        <v>0.5</v>
      </c>
      <c r="D87" s="32">
        <f t="shared" si="42"/>
        <v>0.52500000000000002</v>
      </c>
      <c r="E87" s="32">
        <f t="shared" si="42"/>
        <v>0.55125000000000002</v>
      </c>
      <c r="F87" s="32">
        <f t="shared" si="42"/>
        <v>0.57881250000000006</v>
      </c>
      <c r="G87" s="32">
        <f t="shared" si="42"/>
        <v>0.60775312500000012</v>
      </c>
      <c r="H87" s="32">
        <f t="shared" si="42"/>
        <v>0.63814078125000018</v>
      </c>
      <c r="I87" s="11"/>
      <c r="J87" s="11"/>
      <c r="K87" s="11"/>
      <c r="L87" s="11"/>
      <c r="M87" s="11"/>
      <c r="N87" s="11"/>
      <c r="O87" s="11"/>
    </row>
    <row r="88" spans="1:15" x14ac:dyDescent="0.25">
      <c r="A88" s="8" t="s">
        <v>142</v>
      </c>
      <c r="B88" s="99">
        <f>B86</f>
        <v>0.05</v>
      </c>
      <c r="C88" s="32">
        <f>C86</f>
        <v>0.5</v>
      </c>
      <c r="D88" s="31">
        <f>C89*(1+$B88)</f>
        <v>0.52500000000000002</v>
      </c>
      <c r="E88" s="31">
        <f>D89*(1+$B88)</f>
        <v>0.55125000000000002</v>
      </c>
      <c r="F88" s="31">
        <f>E89*(1+$B88)</f>
        <v>0.57881250000000006</v>
      </c>
      <c r="G88" s="31">
        <f>F89*(1+$B88)</f>
        <v>0.60775312500000012</v>
      </c>
      <c r="H88" s="31">
        <f>G89*(1+$B88)</f>
        <v>0.63814078125000018</v>
      </c>
      <c r="I88" s="11"/>
      <c r="J88" s="11"/>
      <c r="K88" s="11"/>
      <c r="L88" s="11"/>
      <c r="M88" s="11"/>
      <c r="N88" s="11"/>
      <c r="O88" s="11"/>
    </row>
    <row r="89" spans="1:15" x14ac:dyDescent="0.25">
      <c r="A89" s="8" t="s">
        <v>143</v>
      </c>
      <c r="B89" s="32"/>
      <c r="C89" s="32">
        <f t="shared" ref="C89:H89" si="43">C88</f>
        <v>0.5</v>
      </c>
      <c r="D89" s="32">
        <f t="shared" si="43"/>
        <v>0.52500000000000002</v>
      </c>
      <c r="E89" s="32">
        <f t="shared" si="43"/>
        <v>0.55125000000000002</v>
      </c>
      <c r="F89" s="32">
        <f t="shared" si="43"/>
        <v>0.57881250000000006</v>
      </c>
      <c r="G89" s="32">
        <f t="shared" si="43"/>
        <v>0.60775312500000012</v>
      </c>
      <c r="H89" s="32">
        <f t="shared" si="43"/>
        <v>0.63814078125000018</v>
      </c>
      <c r="I89" s="11"/>
      <c r="J89" s="11"/>
      <c r="K89" s="11"/>
      <c r="L89" s="11"/>
      <c r="M89" s="11"/>
      <c r="N89" s="11"/>
      <c r="O89" s="11"/>
    </row>
    <row r="90" spans="1:15" x14ac:dyDescent="0.25">
      <c r="A90" s="11"/>
      <c r="B90" s="22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x14ac:dyDescent="0.25">
      <c r="A91" s="7" t="s">
        <v>62</v>
      </c>
      <c r="B91" s="23"/>
      <c r="C91" s="27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x14ac:dyDescent="0.25">
      <c r="A92" s="8" t="s">
        <v>140</v>
      </c>
      <c r="B92" s="23"/>
      <c r="C92" s="21">
        <f t="shared" ref="C92:H93" si="44">C86*(C3+C5)*(C81*C67)</f>
        <v>4500000</v>
      </c>
      <c r="D92" s="21">
        <f t="shared" si="44"/>
        <v>4187870.5049999999</v>
      </c>
      <c r="E92" s="21">
        <f t="shared" si="44"/>
        <v>4412988.1463750592</v>
      </c>
      <c r="F92" s="21">
        <f t="shared" si="44"/>
        <v>4861324.9963039877</v>
      </c>
      <c r="G92" s="21">
        <f t="shared" si="44"/>
        <v>5442276.5620732745</v>
      </c>
      <c r="H92" s="21">
        <f t="shared" si="44"/>
        <v>6133016.5202373173</v>
      </c>
      <c r="I92" s="11"/>
      <c r="J92" s="11"/>
      <c r="K92" s="11"/>
      <c r="L92" s="11"/>
      <c r="M92" s="11"/>
      <c r="N92" s="11"/>
      <c r="O92" s="11"/>
    </row>
    <row r="93" spans="1:15" x14ac:dyDescent="0.25">
      <c r="A93" s="8" t="s">
        <v>141</v>
      </c>
      <c r="B93" s="23"/>
      <c r="C93" s="21">
        <f t="shared" si="44"/>
        <v>3571200</v>
      </c>
      <c r="D93" s="21">
        <f t="shared" si="44"/>
        <v>3542645.0587500008</v>
      </c>
      <c r="E93" s="21">
        <f t="shared" si="44"/>
        <v>3817356.2055127667</v>
      </c>
      <c r="F93" s="21">
        <f t="shared" si="44"/>
        <v>4236874.7239213185</v>
      </c>
      <c r="G93" s="21">
        <f t="shared" si="44"/>
        <v>4756388.3577060606</v>
      </c>
      <c r="H93" s="21">
        <f t="shared" si="44"/>
        <v>5366426.168049884</v>
      </c>
      <c r="I93" s="11"/>
      <c r="J93" s="11"/>
      <c r="K93" s="11"/>
      <c r="L93" s="11"/>
      <c r="M93" s="11"/>
      <c r="N93" s="11"/>
      <c r="O93" s="11"/>
    </row>
    <row r="94" spans="1:15" x14ac:dyDescent="0.25">
      <c r="A94" s="8" t="s">
        <v>142</v>
      </c>
      <c r="B94" s="23"/>
      <c r="C94" s="21">
        <f t="shared" ref="C94:H95" si="45">C88*C83*C69*((C7*$B$56)+(C9*$B$58))</f>
        <v>201000</v>
      </c>
      <c r="D94" s="21">
        <f t="shared" si="45"/>
        <v>297312.82875000004</v>
      </c>
      <c r="E94" s="21">
        <f t="shared" si="45"/>
        <v>339200.35172264895</v>
      </c>
      <c r="F94" s="21">
        <f t="shared" si="45"/>
        <v>373550.64637539355</v>
      </c>
      <c r="G94" s="21">
        <f t="shared" si="45"/>
        <v>412830.05792002921</v>
      </c>
      <c r="H94" s="21">
        <f t="shared" si="45"/>
        <v>460164.88623336219</v>
      </c>
      <c r="I94" s="11"/>
      <c r="J94" s="11"/>
      <c r="K94" s="11"/>
      <c r="L94" s="11"/>
      <c r="M94" s="11"/>
      <c r="N94" s="11"/>
      <c r="O94" s="11"/>
    </row>
    <row r="95" spans="1:15" x14ac:dyDescent="0.25">
      <c r="A95" s="8" t="s">
        <v>143</v>
      </c>
      <c r="B95" s="23"/>
      <c r="C95" s="4">
        <f t="shared" si="45"/>
        <v>235800</v>
      </c>
      <c r="D95" s="4">
        <f t="shared" si="45"/>
        <v>289611.72843750007</v>
      </c>
      <c r="E95" s="4">
        <f t="shared" si="45"/>
        <v>321345.27755766496</v>
      </c>
      <c r="F95" s="4">
        <f t="shared" si="45"/>
        <v>353609.32691064413</v>
      </c>
      <c r="G95" s="4">
        <f t="shared" si="45"/>
        <v>392221.61259117891</v>
      </c>
      <c r="H95" s="4">
        <f t="shared" si="45"/>
        <v>438620.56889690564</v>
      </c>
      <c r="I95" s="11"/>
      <c r="J95" s="11"/>
      <c r="K95" s="11"/>
      <c r="L95" s="11"/>
      <c r="M95" s="11"/>
      <c r="N95" s="11"/>
      <c r="O95" s="11"/>
    </row>
    <row r="96" spans="1:15" x14ac:dyDescent="0.25">
      <c r="A96" s="8" t="s">
        <v>128</v>
      </c>
      <c r="B96" s="23"/>
      <c r="C96" s="33">
        <f t="shared" ref="C96:H97" si="46">C92+C94</f>
        <v>4701000</v>
      </c>
      <c r="D96" s="33">
        <f t="shared" si="46"/>
        <v>4485183.3337500002</v>
      </c>
      <c r="E96" s="33">
        <f t="shared" si="46"/>
        <v>4752188.4980977084</v>
      </c>
      <c r="F96" s="33">
        <f t="shared" si="46"/>
        <v>5234875.6426793812</v>
      </c>
      <c r="G96" s="33">
        <f t="shared" si="46"/>
        <v>5855106.6199933039</v>
      </c>
      <c r="H96" s="33">
        <f t="shared" si="46"/>
        <v>6593181.4064706797</v>
      </c>
      <c r="I96" s="11"/>
      <c r="J96" s="11"/>
      <c r="K96" s="11"/>
      <c r="L96" s="11"/>
      <c r="M96" s="11"/>
      <c r="N96" s="11"/>
      <c r="O96" s="11"/>
    </row>
    <row r="97" spans="1:15" x14ac:dyDescent="0.25">
      <c r="A97" s="8" t="s">
        <v>129</v>
      </c>
      <c r="B97" s="23"/>
      <c r="C97" s="33">
        <f t="shared" si="46"/>
        <v>3807000</v>
      </c>
      <c r="D97" s="33">
        <f t="shared" si="46"/>
        <v>3832256.7871875009</v>
      </c>
      <c r="E97" s="33">
        <f t="shared" si="46"/>
        <v>4138701.4830704317</v>
      </c>
      <c r="F97" s="33">
        <f t="shared" si="46"/>
        <v>4590484.0508319624</v>
      </c>
      <c r="G97" s="33">
        <f t="shared" si="46"/>
        <v>5148609.9702972397</v>
      </c>
      <c r="H97" s="33">
        <f t="shared" si="46"/>
        <v>5805046.7369467895</v>
      </c>
      <c r="I97" s="11"/>
      <c r="J97" s="11"/>
      <c r="K97" s="11"/>
      <c r="L97" s="11"/>
      <c r="M97" s="11"/>
      <c r="N97" s="11"/>
      <c r="O97" s="11"/>
    </row>
    <row r="98" spans="1:15" x14ac:dyDescent="0.25">
      <c r="A98" s="11"/>
      <c r="B98" s="23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x14ac:dyDescent="0.25">
      <c r="A99" s="19" t="s">
        <v>144</v>
      </c>
      <c r="B99" s="23"/>
      <c r="C99" s="3">
        <f>C77-C96</f>
        <v>11639000</v>
      </c>
      <c r="D99" s="3">
        <f t="shared" ref="D99:H99" si="47">D77-D96</f>
        <v>9974366.6662499998</v>
      </c>
      <c r="E99" s="3">
        <f t="shared" si="47"/>
        <v>9210138.8581522927</v>
      </c>
      <c r="F99" s="3">
        <f t="shared" si="47"/>
        <v>8715437.8499682769</v>
      </c>
      <c r="G99" s="3">
        <f t="shared" si="47"/>
        <v>8286180.9210569197</v>
      </c>
      <c r="H99" s="3">
        <f t="shared" si="47"/>
        <v>7840627.8298746152</v>
      </c>
      <c r="I99" s="11"/>
      <c r="J99" s="11"/>
      <c r="K99" s="11"/>
      <c r="L99" s="11"/>
      <c r="M99" s="11"/>
      <c r="N99" s="11"/>
      <c r="O99" s="11"/>
    </row>
    <row r="100" spans="1:15" x14ac:dyDescent="0.25">
      <c r="A100" s="19" t="s">
        <v>145</v>
      </c>
      <c r="B100" s="23"/>
      <c r="C100" s="3">
        <f>C78-C97</f>
        <v>9669000</v>
      </c>
      <c r="D100" s="3">
        <f>D78-D97</f>
        <v>8629930.7128125019</v>
      </c>
      <c r="E100" s="3">
        <f>E78-E97</f>
        <v>8092270.2091170717</v>
      </c>
      <c r="F100" s="3">
        <f>F78-F97</f>
        <v>7707377.9521037806</v>
      </c>
      <c r="G100" s="3">
        <f>G78-G97</f>
        <v>7352233.0752714146</v>
      </c>
      <c r="H100" s="3">
        <f>H78-H97</f>
        <v>6971853.6289084367</v>
      </c>
      <c r="I100" s="11"/>
      <c r="J100" s="11"/>
      <c r="K100" s="11"/>
      <c r="L100" s="11"/>
      <c r="M100" s="11"/>
      <c r="N100" s="11"/>
      <c r="O100" s="11"/>
    </row>
    <row r="101" spans="1:15" x14ac:dyDescent="0.25">
      <c r="A101" s="11"/>
      <c r="B101" s="23"/>
      <c r="C101" s="64"/>
      <c r="D101" s="64"/>
      <c r="E101" s="64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x14ac:dyDescent="0.25">
      <c r="A102" s="7" t="s">
        <v>146</v>
      </c>
      <c r="B102" s="23"/>
      <c r="C102" s="31">
        <f>C96/C77</f>
        <v>0.28769889840881274</v>
      </c>
      <c r="D102" s="31">
        <f t="shared" ref="D102:H102" si="48">D96/D77</f>
        <v>0.31018830694938643</v>
      </c>
      <c r="E102" s="31">
        <f t="shared" si="48"/>
        <v>0.34035790573055652</v>
      </c>
      <c r="F102" s="31">
        <f t="shared" si="48"/>
        <v>0.37525146982814106</v>
      </c>
      <c r="G102" s="31">
        <f t="shared" si="48"/>
        <v>0.41404338911833383</v>
      </c>
      <c r="H102" s="31">
        <f t="shared" si="48"/>
        <v>0.45678734549633709</v>
      </c>
      <c r="I102" s="11"/>
      <c r="J102" s="11"/>
      <c r="K102" s="11"/>
      <c r="L102" s="11"/>
      <c r="M102" s="11"/>
      <c r="N102" s="11"/>
      <c r="O102" s="11"/>
    </row>
    <row r="103" spans="1:15" x14ac:dyDescent="0.25">
      <c r="A103" s="7" t="s">
        <v>147</v>
      </c>
      <c r="B103" s="23"/>
      <c r="C103" s="31">
        <f>C97/C78</f>
        <v>0.28250222617987536</v>
      </c>
      <c r="D103" s="31">
        <f>D97/D78</f>
        <v>0.30751076303317537</v>
      </c>
      <c r="E103" s="31">
        <f>E97/E78</f>
        <v>0.33837879665063858</v>
      </c>
      <c r="F103" s="31">
        <f>F97/F78</f>
        <v>0.3732749684242776</v>
      </c>
      <c r="G103" s="31">
        <f>G97/G78</f>
        <v>0.41186102021513965</v>
      </c>
      <c r="H103" s="31">
        <f>H97/H78</f>
        <v>0.45433920361937696</v>
      </c>
      <c r="I103" s="11"/>
      <c r="J103" s="11"/>
      <c r="K103" s="11"/>
      <c r="L103" s="11"/>
      <c r="M103" s="11"/>
      <c r="N103" s="11"/>
      <c r="O103" s="11"/>
    </row>
    <row r="104" spans="1:15" x14ac:dyDescent="0.25">
      <c r="A104" s="76"/>
      <c r="B104" s="114" t="s">
        <v>86</v>
      </c>
      <c r="C104" s="94"/>
      <c r="D104" s="94"/>
      <c r="E104" s="94"/>
      <c r="F104" s="94"/>
      <c r="G104" s="94"/>
      <c r="H104" s="94"/>
      <c r="I104" s="11"/>
      <c r="J104" s="11"/>
      <c r="K104" s="11"/>
      <c r="L104" s="11"/>
      <c r="M104" s="11"/>
      <c r="N104" s="11"/>
      <c r="O104" s="11"/>
    </row>
    <row r="105" spans="1:15" x14ac:dyDescent="0.25">
      <c r="A105" s="9" t="s">
        <v>85</v>
      </c>
      <c r="B105" s="83"/>
      <c r="C105" s="87">
        <f>Summary!$B$27+1</f>
        <v>2022</v>
      </c>
      <c r="D105" s="87">
        <f>C105+1</f>
        <v>2023</v>
      </c>
      <c r="E105" s="87">
        <f>D105+1</f>
        <v>2024</v>
      </c>
      <c r="F105" s="87">
        <f>E105+1</f>
        <v>2025</v>
      </c>
      <c r="G105" s="87">
        <f>F105+1</f>
        <v>2026</v>
      </c>
      <c r="H105" s="87">
        <f>G105+1</f>
        <v>2027</v>
      </c>
      <c r="I105" s="11"/>
      <c r="J105" s="11"/>
      <c r="K105" s="11"/>
      <c r="L105" s="11"/>
      <c r="M105" s="11"/>
      <c r="N105" s="11"/>
      <c r="O105" s="11"/>
    </row>
    <row r="106" spans="1:15" x14ac:dyDescent="0.25">
      <c r="A106" s="66" t="s">
        <v>3</v>
      </c>
      <c r="B106" s="115">
        <f>Summary!B8</f>
        <v>0</v>
      </c>
      <c r="C106" s="91">
        <v>4000000</v>
      </c>
      <c r="D106" s="21">
        <f>C106*(1+$B$106+Summary!$B$21)</f>
        <v>4080000</v>
      </c>
      <c r="E106" s="21">
        <f>D106*(1+$B$106+Summary!$B$21)</f>
        <v>4161600</v>
      </c>
      <c r="F106" s="21">
        <f>E106*(1+$B$106+Summary!$B$21)</f>
        <v>4244832</v>
      </c>
      <c r="G106" s="21">
        <f>F106*(1+$B$106+Summary!$B$21)</f>
        <v>4329728.6399999997</v>
      </c>
      <c r="H106" s="21">
        <f>G106*(1+$B$106+Summary!$B$21)</f>
        <v>4416323.2127999999</v>
      </c>
      <c r="I106" s="11"/>
      <c r="J106" s="11"/>
      <c r="K106" s="11"/>
      <c r="L106" s="11"/>
      <c r="M106" s="11"/>
      <c r="N106" s="11"/>
      <c r="O106" s="11"/>
    </row>
    <row r="107" spans="1:15" x14ac:dyDescent="0.25">
      <c r="A107" s="93"/>
      <c r="B107" s="113"/>
      <c r="C107" s="2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x14ac:dyDescent="0.25">
      <c r="A108" s="66" t="s">
        <v>4</v>
      </c>
      <c r="B108" s="115">
        <f>Summary!B9</f>
        <v>0</v>
      </c>
      <c r="C108" s="1">
        <v>1000000</v>
      </c>
      <c r="D108" s="21">
        <f>C108*(1+$B$108+Summary!$B$21)</f>
        <v>1020000</v>
      </c>
      <c r="E108" s="21">
        <f>D108*(1+$B$108+Summary!$B$21)</f>
        <v>1040400</v>
      </c>
      <c r="F108" s="21">
        <f>E108*(1+$B$108+Summary!$B$21)</f>
        <v>1061208</v>
      </c>
      <c r="G108" s="21">
        <f>F108*(1+$B$108+Summary!$B$21)</f>
        <v>1082432.1599999999</v>
      </c>
      <c r="H108" s="21">
        <f>G108*(1+$B$108+Summary!$B$21)</f>
        <v>1104080.8032</v>
      </c>
      <c r="I108" s="11"/>
      <c r="J108" s="11"/>
      <c r="K108" s="11"/>
      <c r="L108" s="11"/>
      <c r="M108" s="11"/>
      <c r="N108" s="11"/>
      <c r="O108" s="11"/>
    </row>
    <row r="109" spans="1:15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85636-A213-484E-AF9D-BDE9FA890284}">
  <dimension ref="A1:V76"/>
  <sheetViews>
    <sheetView zoomScale="98" zoomScaleNormal="98" workbookViewId="0"/>
  </sheetViews>
  <sheetFormatPr defaultRowHeight="15" x14ac:dyDescent="0.25"/>
  <cols>
    <col min="1" max="1" width="22.5703125" customWidth="1"/>
    <col min="2" max="7" width="11.7109375" customWidth="1"/>
    <col min="8" max="8" width="12.140625" customWidth="1"/>
    <col min="9" max="9" width="8.85546875" customWidth="1"/>
    <col min="10" max="10" width="11" customWidth="1"/>
    <col min="15" max="15" width="9.85546875" customWidth="1"/>
    <col min="16" max="16" width="8.42578125" customWidth="1"/>
  </cols>
  <sheetData>
    <row r="1" spans="1:22" x14ac:dyDescent="0.25">
      <c r="A1" s="74" t="str">
        <f>Summary!A1</f>
        <v>Runaway Valley College</v>
      </c>
      <c r="B1" s="80"/>
      <c r="C1" s="81"/>
      <c r="D1" s="81"/>
      <c r="E1" s="109" t="s">
        <v>66</v>
      </c>
      <c r="F1" s="81"/>
      <c r="G1" s="81"/>
      <c r="H1" s="82"/>
      <c r="I1" s="81"/>
      <c r="J1" s="81"/>
      <c r="K1" s="81"/>
      <c r="L1" s="109" t="s">
        <v>67</v>
      </c>
      <c r="M1" s="81"/>
      <c r="N1" s="81"/>
      <c r="O1" s="82"/>
      <c r="P1" s="11"/>
      <c r="Q1" s="11"/>
      <c r="R1" s="11"/>
      <c r="S1" s="11"/>
      <c r="T1" s="11"/>
      <c r="U1" s="11"/>
      <c r="V1" s="11"/>
    </row>
    <row r="2" spans="1:22" ht="60" x14ac:dyDescent="0.25">
      <c r="A2" s="11"/>
      <c r="B2" s="44" t="s">
        <v>15</v>
      </c>
      <c r="C2" s="45" t="s">
        <v>17</v>
      </c>
      <c r="D2" s="45" t="s">
        <v>18</v>
      </c>
      <c r="E2" s="45" t="s">
        <v>16</v>
      </c>
      <c r="F2" s="45" t="s">
        <v>19</v>
      </c>
      <c r="G2" s="45" t="s">
        <v>20</v>
      </c>
      <c r="H2" s="46" t="s">
        <v>21</v>
      </c>
      <c r="I2" s="45" t="s">
        <v>15</v>
      </c>
      <c r="J2" s="45" t="s">
        <v>17</v>
      </c>
      <c r="K2" s="45" t="s">
        <v>18</v>
      </c>
      <c r="L2" s="45" t="s">
        <v>16</v>
      </c>
      <c r="M2" s="45" t="s">
        <v>19</v>
      </c>
      <c r="N2" s="45" t="s">
        <v>20</v>
      </c>
      <c r="O2" s="46" t="s">
        <v>21</v>
      </c>
      <c r="P2" s="20" t="s">
        <v>29</v>
      </c>
      <c r="Q2" s="11"/>
      <c r="R2" s="11"/>
      <c r="S2" s="11"/>
      <c r="T2" s="11"/>
      <c r="U2" s="11"/>
      <c r="V2" s="11"/>
    </row>
    <row r="3" spans="1:22" x14ac:dyDescent="0.25">
      <c r="A3" s="8" t="s">
        <v>6</v>
      </c>
      <c r="B3" s="36">
        <v>100</v>
      </c>
      <c r="C3" s="1">
        <v>90000</v>
      </c>
      <c r="D3" s="104">
        <f>Summary!B22</f>
        <v>0.45</v>
      </c>
      <c r="E3" s="2">
        <v>20</v>
      </c>
      <c r="F3" s="1">
        <v>40000</v>
      </c>
      <c r="G3" s="104">
        <f>Summary!B22</f>
        <v>0.45</v>
      </c>
      <c r="H3" s="37">
        <v>200000</v>
      </c>
      <c r="I3" s="35">
        <v>20</v>
      </c>
      <c r="J3" s="1">
        <v>15000</v>
      </c>
      <c r="K3" s="104">
        <f>Summary!B23</f>
        <v>0.1</v>
      </c>
      <c r="L3" s="2">
        <v>5</v>
      </c>
      <c r="M3" s="1">
        <v>18000</v>
      </c>
      <c r="N3" s="104">
        <f>Summary!B23</f>
        <v>0.1</v>
      </c>
      <c r="O3" s="37">
        <v>100000</v>
      </c>
      <c r="P3" s="103">
        <f>Summary!B21</f>
        <v>0.02</v>
      </c>
      <c r="Q3" s="11"/>
      <c r="R3" s="11"/>
      <c r="S3" s="11"/>
      <c r="T3" s="11"/>
      <c r="U3" s="11"/>
      <c r="V3" s="11"/>
    </row>
    <row r="4" spans="1:22" x14ac:dyDescent="0.25">
      <c r="A4" s="8" t="s">
        <v>7</v>
      </c>
      <c r="B4" s="36">
        <v>5</v>
      </c>
      <c r="C4" s="21">
        <f>C3</f>
        <v>90000</v>
      </c>
      <c r="D4" s="27"/>
      <c r="E4" s="2">
        <v>20</v>
      </c>
      <c r="F4" s="1">
        <v>40000</v>
      </c>
      <c r="G4" s="105">
        <f>G3</f>
        <v>0.45</v>
      </c>
      <c r="H4" s="37">
        <v>200000</v>
      </c>
      <c r="I4" s="35">
        <v>0</v>
      </c>
      <c r="J4" s="21">
        <f>J3</f>
        <v>15000</v>
      </c>
      <c r="K4" s="27"/>
      <c r="L4" s="2">
        <v>5</v>
      </c>
      <c r="M4" s="1">
        <v>18000</v>
      </c>
      <c r="N4" s="105">
        <f>N3</f>
        <v>0.1</v>
      </c>
      <c r="O4" s="37">
        <v>100000</v>
      </c>
      <c r="P4" s="11"/>
      <c r="Q4" s="11"/>
      <c r="R4" s="11"/>
      <c r="S4" s="11"/>
      <c r="T4" s="11"/>
      <c r="U4" s="11"/>
      <c r="V4" s="11"/>
    </row>
    <row r="5" spans="1:22" x14ac:dyDescent="0.25">
      <c r="A5" s="8" t="s">
        <v>8</v>
      </c>
      <c r="B5" s="38"/>
      <c r="C5" s="27"/>
      <c r="D5" s="27"/>
      <c r="E5" s="2">
        <v>20</v>
      </c>
      <c r="F5" s="1">
        <v>40000</v>
      </c>
      <c r="G5" s="105">
        <f>G3</f>
        <v>0.45</v>
      </c>
      <c r="H5" s="37">
        <v>200000</v>
      </c>
      <c r="I5" s="27"/>
      <c r="J5" s="27"/>
      <c r="K5" s="27"/>
      <c r="L5" s="2">
        <v>5</v>
      </c>
      <c r="M5" s="1">
        <v>18000</v>
      </c>
      <c r="N5" s="105">
        <f>N3</f>
        <v>0.1</v>
      </c>
      <c r="O5" s="37">
        <v>100000</v>
      </c>
      <c r="P5" s="11"/>
      <c r="Q5" s="11"/>
      <c r="R5" s="11"/>
      <c r="S5" s="11"/>
      <c r="T5" s="11"/>
      <c r="U5" s="11"/>
      <c r="V5" s="11"/>
    </row>
    <row r="6" spans="1:22" x14ac:dyDescent="0.25">
      <c r="A6" s="8" t="s">
        <v>9</v>
      </c>
      <c r="B6" s="38"/>
      <c r="C6" s="27"/>
      <c r="D6" s="27"/>
      <c r="E6" s="2">
        <v>20</v>
      </c>
      <c r="F6" s="1">
        <v>40000</v>
      </c>
      <c r="G6" s="105">
        <f>G3</f>
        <v>0.45</v>
      </c>
      <c r="H6" s="37">
        <v>200000</v>
      </c>
      <c r="I6" s="27"/>
      <c r="J6" s="27"/>
      <c r="K6" s="27"/>
      <c r="L6" s="2">
        <v>5</v>
      </c>
      <c r="M6" s="1">
        <v>18000</v>
      </c>
      <c r="N6" s="105">
        <f>N3</f>
        <v>0.1</v>
      </c>
      <c r="O6" s="37">
        <v>100000</v>
      </c>
      <c r="P6" s="11"/>
      <c r="Q6" s="11"/>
      <c r="R6" s="11"/>
      <c r="S6" s="11"/>
      <c r="T6" s="11"/>
      <c r="U6" s="11"/>
      <c r="V6" s="11"/>
    </row>
    <row r="7" spans="1:22" ht="15.75" thickBot="1" x14ac:dyDescent="0.3">
      <c r="A7" s="8" t="s">
        <v>10</v>
      </c>
      <c r="B7" s="39"/>
      <c r="C7" s="40"/>
      <c r="D7" s="40"/>
      <c r="E7" s="41">
        <v>20</v>
      </c>
      <c r="F7" s="42">
        <v>40000</v>
      </c>
      <c r="G7" s="106">
        <f>G3</f>
        <v>0.45</v>
      </c>
      <c r="H7" s="43">
        <v>800000</v>
      </c>
      <c r="I7" s="40"/>
      <c r="J7" s="40"/>
      <c r="K7" s="40"/>
      <c r="L7" s="41">
        <v>5</v>
      </c>
      <c r="M7" s="42">
        <v>18000</v>
      </c>
      <c r="N7" s="106">
        <f>N3</f>
        <v>0.1</v>
      </c>
      <c r="O7" s="43">
        <v>500000</v>
      </c>
      <c r="P7" s="11"/>
      <c r="Q7" s="11"/>
      <c r="R7" s="11"/>
      <c r="S7" s="11"/>
      <c r="T7" s="11"/>
      <c r="U7" s="11"/>
      <c r="V7" s="11"/>
    </row>
    <row r="8" spans="1:22" x14ac:dyDescent="0.25">
      <c r="A8" s="11"/>
      <c r="B8" s="48"/>
      <c r="C8" s="49"/>
      <c r="D8" s="49"/>
      <c r="E8" s="110" t="s">
        <v>66</v>
      </c>
      <c r="F8" s="49"/>
      <c r="G8" s="77"/>
      <c r="H8" s="50" t="s">
        <v>65</v>
      </c>
      <c r="I8" s="78"/>
      <c r="J8" s="63"/>
      <c r="K8" s="49"/>
      <c r="L8" s="111" t="s">
        <v>52</v>
      </c>
      <c r="M8" s="49"/>
      <c r="N8" s="77"/>
      <c r="O8" s="50" t="s">
        <v>65</v>
      </c>
      <c r="P8" s="6"/>
      <c r="Q8" s="11"/>
      <c r="R8" s="11"/>
      <c r="S8" s="11"/>
      <c r="T8" s="11"/>
      <c r="U8" s="11"/>
      <c r="V8" s="11"/>
    </row>
    <row r="9" spans="1:22" x14ac:dyDescent="0.25">
      <c r="A9" s="7" t="s">
        <v>24</v>
      </c>
      <c r="B9" s="112">
        <f>Summary!$B$27+1</f>
        <v>2022</v>
      </c>
      <c r="C9" s="87">
        <f>B9+1</f>
        <v>2023</v>
      </c>
      <c r="D9" s="87">
        <f t="shared" ref="D9:F9" si="0">C9+1</f>
        <v>2024</v>
      </c>
      <c r="E9" s="87">
        <f t="shared" si="0"/>
        <v>2025</v>
      </c>
      <c r="F9" s="87">
        <f t="shared" si="0"/>
        <v>2026</v>
      </c>
      <c r="G9" s="87">
        <f>F9+1</f>
        <v>2027</v>
      </c>
      <c r="H9" s="79"/>
      <c r="I9" s="112">
        <f>Summary!$B$27+1</f>
        <v>2022</v>
      </c>
      <c r="J9" s="87">
        <f>I9+1</f>
        <v>2023</v>
      </c>
      <c r="K9" s="87">
        <f t="shared" ref="K9:N9" si="1">J9+1</f>
        <v>2024</v>
      </c>
      <c r="L9" s="87">
        <f t="shared" si="1"/>
        <v>2025</v>
      </c>
      <c r="M9" s="87">
        <f t="shared" si="1"/>
        <v>2026</v>
      </c>
      <c r="N9" s="87">
        <f t="shared" si="1"/>
        <v>2027</v>
      </c>
      <c r="O9" s="79"/>
      <c r="P9" s="11"/>
      <c r="Q9" s="11"/>
      <c r="R9" s="11"/>
      <c r="S9" s="11"/>
      <c r="T9" s="11"/>
      <c r="U9" s="11"/>
      <c r="V9" s="11"/>
    </row>
    <row r="10" spans="1:22" x14ac:dyDescent="0.25">
      <c r="A10" s="8" t="str">
        <f>Summary!$E12</f>
        <v>Instruction</v>
      </c>
      <c r="B10" s="51">
        <f>B3</f>
        <v>100</v>
      </c>
      <c r="C10" s="47">
        <f>B10+$H$10</f>
        <v>99</v>
      </c>
      <c r="D10" s="47">
        <f t="shared" ref="D10:G10" si="2">C10+$H$10</f>
        <v>98</v>
      </c>
      <c r="E10" s="47">
        <f t="shared" si="2"/>
        <v>97</v>
      </c>
      <c r="F10" s="47">
        <f t="shared" si="2"/>
        <v>96</v>
      </c>
      <c r="G10" s="47">
        <f t="shared" si="2"/>
        <v>95</v>
      </c>
      <c r="H10" s="52">
        <f>Summary!B14</f>
        <v>-1</v>
      </c>
      <c r="I10" s="51">
        <f>I3</f>
        <v>20</v>
      </c>
      <c r="J10" s="47">
        <f>I10+$O$10</f>
        <v>25</v>
      </c>
      <c r="K10" s="47">
        <f t="shared" ref="K10:N10" si="3">J10+$O$10</f>
        <v>30</v>
      </c>
      <c r="L10" s="47">
        <f t="shared" si="3"/>
        <v>35</v>
      </c>
      <c r="M10" s="47">
        <f t="shared" si="3"/>
        <v>40</v>
      </c>
      <c r="N10" s="47">
        <f t="shared" si="3"/>
        <v>45</v>
      </c>
      <c r="O10" s="52">
        <f>Summary!$B$16</f>
        <v>5</v>
      </c>
      <c r="P10" s="11"/>
      <c r="Q10" s="11"/>
      <c r="R10" s="11"/>
      <c r="S10" s="11"/>
      <c r="T10" s="11"/>
      <c r="U10" s="11"/>
      <c r="V10" s="11"/>
    </row>
    <row r="11" spans="1:22" x14ac:dyDescent="0.25">
      <c r="A11" s="8" t="str">
        <f>Summary!$E13</f>
        <v>Academic Support</v>
      </c>
      <c r="B11" s="51">
        <f>B4</f>
        <v>5</v>
      </c>
      <c r="C11" s="47">
        <f>B11+$H$11</f>
        <v>5</v>
      </c>
      <c r="D11" s="47">
        <f t="shared" ref="D11:G11" si="4">C11+$H$11</f>
        <v>5</v>
      </c>
      <c r="E11" s="47">
        <f t="shared" si="4"/>
        <v>5</v>
      </c>
      <c r="F11" s="47">
        <f t="shared" si="4"/>
        <v>5</v>
      </c>
      <c r="G11" s="47">
        <f t="shared" si="4"/>
        <v>5</v>
      </c>
      <c r="H11" s="53">
        <v>0</v>
      </c>
      <c r="I11" s="51">
        <f>I4</f>
        <v>0</v>
      </c>
      <c r="J11" s="47">
        <f>I11+$O$11</f>
        <v>0</v>
      </c>
      <c r="K11" s="47">
        <f t="shared" ref="K11:N11" si="5">J11+$O$11</f>
        <v>0</v>
      </c>
      <c r="L11" s="47">
        <f t="shared" si="5"/>
        <v>0</v>
      </c>
      <c r="M11" s="47">
        <f t="shared" si="5"/>
        <v>0</v>
      </c>
      <c r="N11" s="47">
        <f t="shared" si="5"/>
        <v>0</v>
      </c>
      <c r="O11" s="53">
        <v>0</v>
      </c>
      <c r="P11" s="11"/>
      <c r="Q11" s="11"/>
      <c r="R11" s="11"/>
      <c r="S11" s="11"/>
      <c r="T11" s="11"/>
      <c r="U11" s="11"/>
      <c r="V11" s="11"/>
    </row>
    <row r="12" spans="1:22" x14ac:dyDescent="0.25">
      <c r="A12" s="107"/>
      <c r="B12" s="54"/>
      <c r="C12" s="55"/>
      <c r="D12" s="55"/>
      <c r="E12" s="55"/>
      <c r="F12" s="55"/>
      <c r="G12" s="55"/>
      <c r="H12" s="56"/>
      <c r="I12" s="38"/>
      <c r="J12" s="27"/>
      <c r="K12" s="27"/>
      <c r="L12" s="27"/>
      <c r="M12" s="27"/>
      <c r="N12" s="27"/>
      <c r="O12" s="58"/>
      <c r="P12" s="11"/>
      <c r="Q12" s="11"/>
      <c r="R12" s="11"/>
      <c r="S12" s="11"/>
      <c r="T12" s="11"/>
      <c r="U12" s="11"/>
      <c r="V12" s="11"/>
    </row>
    <row r="13" spans="1:22" x14ac:dyDescent="0.25">
      <c r="A13" s="83"/>
      <c r="B13" s="38"/>
      <c r="C13" s="27"/>
      <c r="D13" s="27"/>
      <c r="E13" s="27"/>
      <c r="F13" s="27"/>
      <c r="G13" s="27"/>
      <c r="H13" s="57" t="s">
        <v>28</v>
      </c>
      <c r="I13" s="38"/>
      <c r="J13" s="27"/>
      <c r="K13" s="27"/>
      <c r="L13" s="27"/>
      <c r="M13" s="27"/>
      <c r="N13" s="27"/>
      <c r="O13" s="57" t="s">
        <v>28</v>
      </c>
      <c r="P13" s="11"/>
      <c r="Q13" s="11"/>
      <c r="R13" s="11"/>
      <c r="S13" s="11"/>
      <c r="T13" s="11"/>
      <c r="U13" s="11"/>
      <c r="V13" s="11"/>
    </row>
    <row r="14" spans="1:22" x14ac:dyDescent="0.25">
      <c r="A14" s="19" t="s">
        <v>25</v>
      </c>
      <c r="B14" s="112">
        <f>Summary!$B$27+1</f>
        <v>2022</v>
      </c>
      <c r="C14" s="87">
        <f>B14+1</f>
        <v>2023</v>
      </c>
      <c r="D14" s="87">
        <f t="shared" ref="D14:F14" si="6">C14+1</f>
        <v>2024</v>
      </c>
      <c r="E14" s="87">
        <f t="shared" si="6"/>
        <v>2025</v>
      </c>
      <c r="F14" s="87">
        <f t="shared" si="6"/>
        <v>2026</v>
      </c>
      <c r="G14" s="87">
        <f>F14+1</f>
        <v>2027</v>
      </c>
      <c r="H14" s="52">
        <f>Summary!B15</f>
        <v>-2</v>
      </c>
      <c r="I14" s="112">
        <f>Summary!$B$27+1</f>
        <v>2022</v>
      </c>
      <c r="J14" s="87">
        <f>I14+1</f>
        <v>2023</v>
      </c>
      <c r="K14" s="87">
        <f t="shared" ref="K14" si="7">J14+1</f>
        <v>2024</v>
      </c>
      <c r="L14" s="87">
        <f t="shared" ref="L14" si="8">K14+1</f>
        <v>2025</v>
      </c>
      <c r="M14" s="87">
        <f t="shared" ref="M14" si="9">L14+1</f>
        <v>2026</v>
      </c>
      <c r="N14" s="87">
        <f>M14+1</f>
        <v>2027</v>
      </c>
      <c r="O14" s="52">
        <f>Summary!$B$17</f>
        <v>-1</v>
      </c>
      <c r="P14" s="11"/>
      <c r="Q14" s="11"/>
      <c r="R14" s="11"/>
      <c r="S14" s="11"/>
      <c r="T14" s="11"/>
      <c r="U14" s="11"/>
      <c r="V14" s="11"/>
    </row>
    <row r="15" spans="1:22" x14ac:dyDescent="0.25">
      <c r="A15" s="8" t="str">
        <f>Summary!$E12</f>
        <v>Instruction</v>
      </c>
      <c r="B15" s="51">
        <f>E3</f>
        <v>20</v>
      </c>
      <c r="C15" s="47">
        <f>Staffing!B15+(B15/B$20)*$H$14</f>
        <v>19.600000000000001</v>
      </c>
      <c r="D15" s="47">
        <f>Staffing!C15+(C15/C$20)*$H$14</f>
        <v>19.200000000000003</v>
      </c>
      <c r="E15" s="47">
        <f>Staffing!D15+(D15/D$20)*$H$14</f>
        <v>18.800000000000004</v>
      </c>
      <c r="F15" s="47">
        <f>Staffing!E15+(E15/E$20)*$H$14</f>
        <v>18.400000000000006</v>
      </c>
      <c r="G15" s="47">
        <f>Staffing!F15+(F15/F$20)*$H$14</f>
        <v>18.000000000000007</v>
      </c>
      <c r="H15" s="58"/>
      <c r="I15" s="51">
        <f>L3</f>
        <v>5</v>
      </c>
      <c r="J15" s="47">
        <f>Staffing!I15+(I15/I$20)*$O$14</f>
        <v>4.8</v>
      </c>
      <c r="K15" s="47">
        <f>Staffing!J15+(J15/J$20)*$O$14</f>
        <v>4.5999999999999996</v>
      </c>
      <c r="L15" s="47">
        <f>Staffing!K15+(K15/K$20)*$O$14</f>
        <v>4.3999999999999995</v>
      </c>
      <c r="M15" s="47">
        <f>Staffing!L15+(L15/L$20)*$O$14</f>
        <v>4.1999999999999993</v>
      </c>
      <c r="N15" s="47">
        <f>Staffing!M15+(M15/M$20)*$O$14</f>
        <v>3.9999999999999991</v>
      </c>
      <c r="O15" s="58"/>
      <c r="P15" s="11"/>
      <c r="Q15" s="11"/>
      <c r="R15" s="11"/>
      <c r="S15" s="11"/>
      <c r="T15" s="11"/>
      <c r="U15" s="11"/>
      <c r="V15" s="11"/>
    </row>
    <row r="16" spans="1:22" x14ac:dyDescent="0.25">
      <c r="A16" s="8" t="str">
        <f>Summary!$E13</f>
        <v>Academic Support</v>
      </c>
      <c r="B16" s="51">
        <f>E4</f>
        <v>20</v>
      </c>
      <c r="C16" s="47">
        <f>Staffing!B16+(B16/B$20)*$H$14</f>
        <v>19.600000000000001</v>
      </c>
      <c r="D16" s="47">
        <f>Staffing!C16+(C16/C$20)*$H$14</f>
        <v>19.200000000000003</v>
      </c>
      <c r="E16" s="47">
        <f>Staffing!D16+(D16/D$20)*$H$14</f>
        <v>18.800000000000004</v>
      </c>
      <c r="F16" s="47">
        <f>Staffing!E16+(E16/E$20)*$H$14</f>
        <v>18.400000000000006</v>
      </c>
      <c r="G16" s="47">
        <f>Staffing!F16+(F16/F$20)*$H$14</f>
        <v>18.000000000000007</v>
      </c>
      <c r="H16" s="58"/>
      <c r="I16" s="51">
        <f>L4</f>
        <v>5</v>
      </c>
      <c r="J16" s="47">
        <f>Staffing!I16+(I16/I$20)*$O$14</f>
        <v>4.8</v>
      </c>
      <c r="K16" s="47">
        <f>Staffing!J16+(J16/J$20)*$O$14</f>
        <v>4.5999999999999996</v>
      </c>
      <c r="L16" s="47">
        <f>Staffing!K16+(K16/K$20)*$O$14</f>
        <v>4.3999999999999995</v>
      </c>
      <c r="M16" s="47">
        <f>Staffing!L16+(L16/L$20)*$O$14</f>
        <v>4.1999999999999993</v>
      </c>
      <c r="N16" s="47">
        <f>Staffing!M16+(M16/M$20)*$O$14</f>
        <v>3.9999999999999991</v>
      </c>
      <c r="O16" s="58"/>
      <c r="P16" s="11"/>
      <c r="Q16" s="11"/>
      <c r="R16" s="11"/>
      <c r="S16" s="11"/>
      <c r="T16" s="11"/>
      <c r="U16" s="11"/>
      <c r="V16" s="11"/>
    </row>
    <row r="17" spans="1:22" x14ac:dyDescent="0.25">
      <c r="A17" s="8" t="str">
        <f>Summary!$E14</f>
        <v>Student Affairs</v>
      </c>
      <c r="B17" s="51">
        <f>E5</f>
        <v>20</v>
      </c>
      <c r="C17" s="47">
        <f>Staffing!B17+(B17/B$20)*$H$14</f>
        <v>19.600000000000001</v>
      </c>
      <c r="D17" s="47">
        <f>Staffing!C17+(C17/C$20)*$H$14</f>
        <v>19.200000000000003</v>
      </c>
      <c r="E17" s="47">
        <f>Staffing!D17+(D17/D$20)*$H$14</f>
        <v>18.800000000000004</v>
      </c>
      <c r="F17" s="47">
        <f>Staffing!E17+(E17/E$20)*$H$14</f>
        <v>18.400000000000006</v>
      </c>
      <c r="G17" s="47">
        <f>Staffing!F17+(F17/F$20)*$H$14</f>
        <v>18.000000000000007</v>
      </c>
      <c r="H17" s="58"/>
      <c r="I17" s="51">
        <f>L5</f>
        <v>5</v>
      </c>
      <c r="J17" s="47">
        <f>Staffing!I17+(I17/I$20)*$O$14</f>
        <v>4.8</v>
      </c>
      <c r="K17" s="47">
        <f>Staffing!J17+(J17/J$20)*$O$14</f>
        <v>4.5999999999999996</v>
      </c>
      <c r="L17" s="47">
        <f>Staffing!K17+(K17/K$20)*$O$14</f>
        <v>4.3999999999999995</v>
      </c>
      <c r="M17" s="47">
        <f>Staffing!L17+(L17/L$20)*$O$14</f>
        <v>4.1999999999999993</v>
      </c>
      <c r="N17" s="47">
        <f>Staffing!M17+(M17/M$20)*$O$14</f>
        <v>3.9999999999999991</v>
      </c>
      <c r="O17" s="58"/>
      <c r="P17" s="11"/>
      <c r="Q17" s="11"/>
      <c r="R17" s="11"/>
      <c r="S17" s="11"/>
      <c r="T17" s="11"/>
      <c r="U17" s="11"/>
      <c r="V17" s="11"/>
    </row>
    <row r="18" spans="1:22" x14ac:dyDescent="0.25">
      <c r="A18" s="8" t="str">
        <f>Summary!$E15</f>
        <v>Administrative Support</v>
      </c>
      <c r="B18" s="51">
        <f>E6</f>
        <v>20</v>
      </c>
      <c r="C18" s="47">
        <f>Staffing!B18+(B18/B$20)*$H$14</f>
        <v>19.600000000000001</v>
      </c>
      <c r="D18" s="47">
        <f>Staffing!C18+(C18/C$20)*$H$14</f>
        <v>19.200000000000003</v>
      </c>
      <c r="E18" s="47">
        <f>Staffing!D18+(D18/D$20)*$H$14</f>
        <v>18.800000000000004</v>
      </c>
      <c r="F18" s="47">
        <f>Staffing!E18+(E18/E$20)*$H$14</f>
        <v>18.400000000000006</v>
      </c>
      <c r="G18" s="47">
        <f>Staffing!F18+(F18/F$20)*$H$14</f>
        <v>18.000000000000007</v>
      </c>
      <c r="H18" s="58"/>
      <c r="I18" s="51">
        <f>L6</f>
        <v>5</v>
      </c>
      <c r="J18" s="47">
        <f>Staffing!I18+(I18/I$20)*$O$14</f>
        <v>4.8</v>
      </c>
      <c r="K18" s="47">
        <f>Staffing!J18+(J18/J$20)*$O$14</f>
        <v>4.5999999999999996</v>
      </c>
      <c r="L18" s="47">
        <f>Staffing!K18+(K18/K$20)*$O$14</f>
        <v>4.3999999999999995</v>
      </c>
      <c r="M18" s="47">
        <f>Staffing!L18+(L18/L$20)*$O$14</f>
        <v>4.1999999999999993</v>
      </c>
      <c r="N18" s="47">
        <f>Staffing!M18+(M18/M$20)*$O$14</f>
        <v>3.9999999999999991</v>
      </c>
      <c r="O18" s="58"/>
      <c r="P18" s="11"/>
      <c r="Q18" s="11"/>
      <c r="R18" s="11"/>
      <c r="S18" s="11"/>
      <c r="T18" s="11"/>
      <c r="U18" s="11"/>
      <c r="V18" s="11"/>
    </row>
    <row r="19" spans="1:22" x14ac:dyDescent="0.25">
      <c r="A19" s="8" t="str">
        <f>Summary!$E16</f>
        <v>Plant Operations</v>
      </c>
      <c r="B19" s="59">
        <f>E7</f>
        <v>20</v>
      </c>
      <c r="C19" s="15">
        <f>Staffing!B19+(B19/B$20)*$H$14</f>
        <v>19.600000000000001</v>
      </c>
      <c r="D19" s="15">
        <f>Staffing!C19+(C19/C$20)*$H$14</f>
        <v>19.200000000000003</v>
      </c>
      <c r="E19" s="15">
        <f>Staffing!D19+(D19/D$20)*$H$14</f>
        <v>18.800000000000004</v>
      </c>
      <c r="F19" s="15">
        <f>Staffing!E19+(E19/E$20)*$H$14</f>
        <v>18.400000000000006</v>
      </c>
      <c r="G19" s="15">
        <f>Staffing!F19+(F19/F$20)*$H$14</f>
        <v>18.000000000000007</v>
      </c>
      <c r="H19" s="58"/>
      <c r="I19" s="59">
        <f>L7</f>
        <v>5</v>
      </c>
      <c r="J19" s="15">
        <f>Staffing!I19+(I19/I$20)*$O$14</f>
        <v>4.8</v>
      </c>
      <c r="K19" s="15">
        <f>Staffing!J19+(J19/J$20)*$O$14</f>
        <v>4.5999999999999996</v>
      </c>
      <c r="L19" s="15">
        <f>Staffing!K19+(K19/K$20)*$O$14</f>
        <v>4.3999999999999995</v>
      </c>
      <c r="M19" s="15">
        <f>Staffing!L19+(L19/L$20)*$O$14</f>
        <v>4.1999999999999993</v>
      </c>
      <c r="N19" s="15">
        <f>Staffing!M19+(M19/M$20)*$O$14</f>
        <v>3.9999999999999991</v>
      </c>
      <c r="O19" s="58"/>
      <c r="P19" s="11"/>
      <c r="Q19" s="11"/>
      <c r="R19" s="11"/>
      <c r="S19" s="11"/>
      <c r="T19" s="11"/>
      <c r="U19" s="11"/>
      <c r="V19" s="11"/>
    </row>
    <row r="20" spans="1:22" ht="15.75" thickBot="1" x14ac:dyDescent="0.3">
      <c r="A20" s="83"/>
      <c r="B20" s="60">
        <f>SUM(B15:B19)</f>
        <v>100</v>
      </c>
      <c r="C20" s="61">
        <f t="shared" ref="C20:G20" si="10">SUM(C15:C19)</f>
        <v>98</v>
      </c>
      <c r="D20" s="61">
        <f t="shared" si="10"/>
        <v>96.000000000000014</v>
      </c>
      <c r="E20" s="61">
        <f t="shared" si="10"/>
        <v>94.000000000000028</v>
      </c>
      <c r="F20" s="61">
        <f t="shared" si="10"/>
        <v>92.000000000000028</v>
      </c>
      <c r="G20" s="61">
        <f t="shared" si="10"/>
        <v>90.000000000000028</v>
      </c>
      <c r="H20" s="62"/>
      <c r="I20" s="60">
        <f>SUM(I15:I19)</f>
        <v>25</v>
      </c>
      <c r="J20" s="61">
        <f t="shared" ref="J20:N20" si="11">SUM(J15:J19)</f>
        <v>24</v>
      </c>
      <c r="K20" s="61">
        <f t="shared" si="11"/>
        <v>23</v>
      </c>
      <c r="L20" s="61">
        <f t="shared" si="11"/>
        <v>21.999999999999996</v>
      </c>
      <c r="M20" s="61">
        <f t="shared" si="11"/>
        <v>20.999999999999996</v>
      </c>
      <c r="N20" s="61">
        <f t="shared" si="11"/>
        <v>19.999999999999996</v>
      </c>
      <c r="O20" s="62"/>
      <c r="P20" s="11"/>
      <c r="Q20" s="11"/>
      <c r="R20" s="11"/>
      <c r="S20" s="11"/>
      <c r="T20" s="11"/>
      <c r="U20" s="11"/>
      <c r="V20" s="11"/>
    </row>
    <row r="21" spans="1:22" x14ac:dyDescent="0.25">
      <c r="A21" s="83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5">
      <c r="A22" s="83"/>
      <c r="B22" s="11"/>
      <c r="C22" s="11"/>
      <c r="D22" s="11"/>
      <c r="E22" s="87" t="s">
        <v>66</v>
      </c>
      <c r="F22" s="11"/>
      <c r="G22" s="6"/>
      <c r="H22" s="10" t="s">
        <v>44</v>
      </c>
      <c r="I22" s="6"/>
      <c r="J22" s="11"/>
      <c r="K22" s="11"/>
      <c r="L22" s="108" t="s">
        <v>52</v>
      </c>
      <c r="M22" s="11"/>
      <c r="N22" s="6"/>
      <c r="O22" s="10" t="s">
        <v>44</v>
      </c>
      <c r="P22" s="6"/>
      <c r="Q22" s="11"/>
      <c r="R22" s="11"/>
      <c r="S22" s="11"/>
      <c r="T22" s="11"/>
      <c r="U22" s="11"/>
      <c r="V22" s="11"/>
    </row>
    <row r="23" spans="1:22" x14ac:dyDescent="0.25">
      <c r="A23" s="19" t="s">
        <v>26</v>
      </c>
      <c r="B23" s="87">
        <f>Summary!$B$27+1</f>
        <v>2022</v>
      </c>
      <c r="C23" s="87">
        <f>B23+1</f>
        <v>2023</v>
      </c>
      <c r="D23" s="87">
        <f t="shared" ref="D23:F23" si="12">C23+1</f>
        <v>2024</v>
      </c>
      <c r="E23" s="87">
        <f t="shared" si="12"/>
        <v>2025</v>
      </c>
      <c r="F23" s="87">
        <f t="shared" si="12"/>
        <v>2026</v>
      </c>
      <c r="G23" s="87">
        <f>F23+1</f>
        <v>2027</v>
      </c>
      <c r="H23" s="34"/>
      <c r="I23" s="87">
        <f>Summary!$B$27+1</f>
        <v>2022</v>
      </c>
      <c r="J23" s="87">
        <f>I23+1</f>
        <v>2023</v>
      </c>
      <c r="K23" s="87">
        <f t="shared" ref="K23" si="13">J23+1</f>
        <v>2024</v>
      </c>
      <c r="L23" s="87">
        <f t="shared" ref="L23" si="14">K23+1</f>
        <v>2025</v>
      </c>
      <c r="M23" s="87">
        <f t="shared" ref="M23" si="15">L23+1</f>
        <v>2026</v>
      </c>
      <c r="N23" s="87">
        <f>M23+1</f>
        <v>2027</v>
      </c>
      <c r="O23" s="34"/>
      <c r="P23" s="11"/>
      <c r="Q23" s="11"/>
      <c r="R23" s="11"/>
      <c r="S23" s="11"/>
      <c r="T23" s="11"/>
      <c r="U23" s="11"/>
      <c r="V23" s="11"/>
    </row>
    <row r="24" spans="1:22" x14ac:dyDescent="0.25">
      <c r="A24" s="8" t="str">
        <f>Summary!$E12</f>
        <v>Instruction</v>
      </c>
      <c r="B24" s="5">
        <f>C3</f>
        <v>90000</v>
      </c>
      <c r="C24" s="5">
        <f>B24*(1+$P$3+$H$24)</f>
        <v>92700</v>
      </c>
      <c r="D24" s="5">
        <f>C24*(1+$P$3+$H$24)</f>
        <v>95481</v>
      </c>
      <c r="E24" s="5">
        <f>D24*(1+$P$3+$H$24)</f>
        <v>98345.430000000008</v>
      </c>
      <c r="F24" s="5">
        <f>E24*(1+$P$3+$H$24)</f>
        <v>101295.79290000001</v>
      </c>
      <c r="G24" s="5">
        <f>F24*(1+$P$3+$H$24)</f>
        <v>104334.66668700002</v>
      </c>
      <c r="H24" s="103">
        <f>Summary!B10</f>
        <v>0.01</v>
      </c>
      <c r="I24" s="5">
        <f>J3</f>
        <v>15000</v>
      </c>
      <c r="J24" s="5">
        <f>I24*(1+$P$3+$O$24)</f>
        <v>15450</v>
      </c>
      <c r="K24" s="5">
        <f t="shared" ref="K24:N24" si="16">J24*(1+$P$3+$O$24)</f>
        <v>15913.5</v>
      </c>
      <c r="L24" s="5">
        <f t="shared" si="16"/>
        <v>16390.904999999999</v>
      </c>
      <c r="M24" s="5">
        <f t="shared" si="16"/>
        <v>16882.632149999998</v>
      </c>
      <c r="N24" s="5">
        <f t="shared" si="16"/>
        <v>17389.1111145</v>
      </c>
      <c r="O24" s="103">
        <f>Summary!B12</f>
        <v>0.01</v>
      </c>
      <c r="P24" s="11"/>
      <c r="Q24" s="11"/>
      <c r="R24" s="11"/>
      <c r="S24" s="11"/>
      <c r="T24" s="11"/>
      <c r="U24" s="11"/>
      <c r="V24" s="11"/>
    </row>
    <row r="25" spans="1:22" x14ac:dyDescent="0.25">
      <c r="A25" s="8" t="str">
        <f>Summary!$E13</f>
        <v>Academic Support</v>
      </c>
      <c r="B25" s="5">
        <f>C4</f>
        <v>90000</v>
      </c>
      <c r="C25" s="5">
        <f>B25*(1+$P$3+$H$24)</f>
        <v>92700</v>
      </c>
      <c r="D25" s="5">
        <f t="shared" ref="D25:G25" si="17">C25*(1+$P$3+$H$24)</f>
        <v>95481</v>
      </c>
      <c r="E25" s="5">
        <f t="shared" si="17"/>
        <v>98345.430000000008</v>
      </c>
      <c r="F25" s="5">
        <f t="shared" si="17"/>
        <v>101295.79290000001</v>
      </c>
      <c r="G25" s="5">
        <f t="shared" si="17"/>
        <v>104334.66668700002</v>
      </c>
      <c r="H25" s="11"/>
      <c r="I25" s="5">
        <f>J4</f>
        <v>15000</v>
      </c>
      <c r="J25" s="5">
        <f>I25*(1+$P$3+$O$24)</f>
        <v>15450</v>
      </c>
      <c r="K25" s="5">
        <f t="shared" ref="K25:N25" si="18">J25*(1+$P$3+$O$24)</f>
        <v>15913.5</v>
      </c>
      <c r="L25" s="5">
        <f t="shared" si="18"/>
        <v>16390.904999999999</v>
      </c>
      <c r="M25" s="5">
        <f t="shared" si="18"/>
        <v>16882.632149999998</v>
      </c>
      <c r="N25" s="5">
        <f t="shared" si="18"/>
        <v>17389.1111145</v>
      </c>
      <c r="O25" s="11"/>
      <c r="P25" s="11"/>
      <c r="Q25" s="11"/>
      <c r="R25" s="11"/>
      <c r="S25" s="11"/>
      <c r="T25" s="11"/>
      <c r="U25" s="11"/>
      <c r="V25" s="11"/>
    </row>
    <row r="26" spans="1:22" x14ac:dyDescent="0.25">
      <c r="A26" s="83"/>
      <c r="B26" s="11"/>
      <c r="C26" s="11"/>
      <c r="D26" s="11"/>
      <c r="E26" s="11"/>
      <c r="F26" s="11"/>
      <c r="G26" s="6"/>
      <c r="H26" s="10" t="s">
        <v>44</v>
      </c>
      <c r="I26" s="6"/>
      <c r="J26" s="11"/>
      <c r="K26" s="11"/>
      <c r="L26" s="11"/>
      <c r="M26" s="11"/>
      <c r="N26" s="6"/>
      <c r="O26" s="10" t="s">
        <v>44</v>
      </c>
      <c r="P26" s="6"/>
      <c r="Q26" s="11"/>
      <c r="R26" s="11"/>
      <c r="S26" s="11"/>
      <c r="T26" s="11"/>
      <c r="U26" s="11"/>
      <c r="V26" s="11"/>
    </row>
    <row r="27" spans="1:22" x14ac:dyDescent="0.25">
      <c r="A27" s="19" t="s">
        <v>27</v>
      </c>
      <c r="B27" s="87">
        <f>Summary!$B$27+1</f>
        <v>2022</v>
      </c>
      <c r="C27" s="87">
        <f>B27+1</f>
        <v>2023</v>
      </c>
      <c r="D27" s="87">
        <f t="shared" ref="D27:F27" si="19">C27+1</f>
        <v>2024</v>
      </c>
      <c r="E27" s="87">
        <f t="shared" si="19"/>
        <v>2025</v>
      </c>
      <c r="F27" s="87">
        <f t="shared" si="19"/>
        <v>2026</v>
      </c>
      <c r="G27" s="87">
        <f>F27+1</f>
        <v>2027</v>
      </c>
      <c r="H27" s="76"/>
      <c r="I27" s="87">
        <f>Summary!$B$27+1</f>
        <v>2022</v>
      </c>
      <c r="J27" s="87">
        <f>I27+1</f>
        <v>2023</v>
      </c>
      <c r="K27" s="87">
        <f t="shared" ref="K27" si="20">J27+1</f>
        <v>2024</v>
      </c>
      <c r="L27" s="87">
        <f t="shared" ref="L27" si="21">K27+1</f>
        <v>2025</v>
      </c>
      <c r="M27" s="87">
        <f t="shared" ref="M27" si="22">L27+1</f>
        <v>2026</v>
      </c>
      <c r="N27" s="87">
        <f>M27+1</f>
        <v>2027</v>
      </c>
      <c r="O27" s="76"/>
      <c r="P27" s="11"/>
      <c r="Q27" s="11"/>
      <c r="R27" s="11"/>
      <c r="S27" s="11"/>
      <c r="T27" s="11"/>
      <c r="U27" s="11"/>
      <c r="V27" s="11"/>
    </row>
    <row r="28" spans="1:22" x14ac:dyDescent="0.25">
      <c r="A28" s="8" t="str">
        <f>Summary!$E12</f>
        <v>Instruction</v>
      </c>
      <c r="B28" s="5">
        <f>F3</f>
        <v>40000</v>
      </c>
      <c r="C28" s="5">
        <f t="shared" ref="C28:G32" si="23">B28*(1+$H$28+$P$3)</f>
        <v>40800</v>
      </c>
      <c r="D28" s="5">
        <f t="shared" si="23"/>
        <v>41616</v>
      </c>
      <c r="E28" s="5">
        <f t="shared" si="23"/>
        <v>42448.32</v>
      </c>
      <c r="F28" s="5">
        <f t="shared" si="23"/>
        <v>43297.286399999997</v>
      </c>
      <c r="G28" s="5">
        <f t="shared" si="23"/>
        <v>44163.232127999996</v>
      </c>
      <c r="H28" s="103">
        <f>Summary!B11</f>
        <v>0</v>
      </c>
      <c r="I28" s="5">
        <f>M3</f>
        <v>18000</v>
      </c>
      <c r="J28" s="5">
        <f>I28*(1+$O$28+$P$3)</f>
        <v>18540</v>
      </c>
      <c r="K28" s="5">
        <f t="shared" ref="K28:N28" si="24">J28*(1+$O$28+$P$3)</f>
        <v>19096.2</v>
      </c>
      <c r="L28" s="5">
        <f t="shared" si="24"/>
        <v>19669.086000000003</v>
      </c>
      <c r="M28" s="5">
        <f t="shared" si="24"/>
        <v>20259.158580000003</v>
      </c>
      <c r="N28" s="5">
        <f t="shared" si="24"/>
        <v>20866.933337400005</v>
      </c>
      <c r="O28" s="103">
        <f>Summary!B13</f>
        <v>0.01</v>
      </c>
      <c r="P28" s="11"/>
      <c r="Q28" s="11"/>
      <c r="R28" s="11"/>
      <c r="S28" s="11"/>
      <c r="T28" s="11"/>
      <c r="U28" s="11"/>
      <c r="V28" s="11"/>
    </row>
    <row r="29" spans="1:22" x14ac:dyDescent="0.25">
      <c r="A29" s="8" t="str">
        <f>Summary!$E13</f>
        <v>Academic Support</v>
      </c>
      <c r="B29" s="5">
        <f>F4</f>
        <v>40000</v>
      </c>
      <c r="C29" s="5">
        <f t="shared" si="23"/>
        <v>40800</v>
      </c>
      <c r="D29" s="5">
        <f t="shared" si="23"/>
        <v>41616</v>
      </c>
      <c r="E29" s="5">
        <f t="shared" si="23"/>
        <v>42448.32</v>
      </c>
      <c r="F29" s="5">
        <f t="shared" si="23"/>
        <v>43297.286399999997</v>
      </c>
      <c r="G29" s="5">
        <f t="shared" si="23"/>
        <v>44163.232127999996</v>
      </c>
      <c r="H29" s="11"/>
      <c r="I29" s="5">
        <f>M4</f>
        <v>18000</v>
      </c>
      <c r="J29" s="5">
        <f t="shared" ref="J29:N32" si="25">I29*(1+$O$28+$P$3)</f>
        <v>18540</v>
      </c>
      <c r="K29" s="5">
        <f t="shared" si="25"/>
        <v>19096.2</v>
      </c>
      <c r="L29" s="5">
        <f t="shared" si="25"/>
        <v>19669.086000000003</v>
      </c>
      <c r="M29" s="5">
        <f t="shared" si="25"/>
        <v>20259.158580000003</v>
      </c>
      <c r="N29" s="5">
        <f t="shared" si="25"/>
        <v>20866.933337400005</v>
      </c>
      <c r="O29" s="11"/>
      <c r="P29" s="11"/>
      <c r="Q29" s="11"/>
      <c r="R29" s="11"/>
      <c r="S29" s="11"/>
      <c r="T29" s="11"/>
      <c r="U29" s="11"/>
      <c r="V29" s="11"/>
    </row>
    <row r="30" spans="1:22" x14ac:dyDescent="0.25">
      <c r="A30" s="8" t="str">
        <f>Summary!$E14</f>
        <v>Student Affairs</v>
      </c>
      <c r="B30" s="5">
        <f>F5</f>
        <v>40000</v>
      </c>
      <c r="C30" s="5">
        <f t="shared" si="23"/>
        <v>40800</v>
      </c>
      <c r="D30" s="5">
        <f t="shared" si="23"/>
        <v>41616</v>
      </c>
      <c r="E30" s="5">
        <f t="shared" si="23"/>
        <v>42448.32</v>
      </c>
      <c r="F30" s="5">
        <f t="shared" si="23"/>
        <v>43297.286399999997</v>
      </c>
      <c r="G30" s="5">
        <f t="shared" si="23"/>
        <v>44163.232127999996</v>
      </c>
      <c r="H30" s="11"/>
      <c r="I30" s="5">
        <f>M5</f>
        <v>18000</v>
      </c>
      <c r="J30" s="5">
        <f t="shared" si="25"/>
        <v>18540</v>
      </c>
      <c r="K30" s="5">
        <f t="shared" si="25"/>
        <v>19096.2</v>
      </c>
      <c r="L30" s="5">
        <f t="shared" si="25"/>
        <v>19669.086000000003</v>
      </c>
      <c r="M30" s="5">
        <f t="shared" si="25"/>
        <v>20259.158580000003</v>
      </c>
      <c r="N30" s="5">
        <f t="shared" si="25"/>
        <v>20866.933337400005</v>
      </c>
      <c r="O30" s="11"/>
      <c r="P30" s="11"/>
      <c r="Q30" s="11"/>
      <c r="R30" s="11"/>
      <c r="S30" s="11"/>
      <c r="T30" s="11"/>
      <c r="U30" s="11"/>
      <c r="V30" s="11"/>
    </row>
    <row r="31" spans="1:22" x14ac:dyDescent="0.25">
      <c r="A31" s="8" t="str">
        <f>Summary!$E15</f>
        <v>Administrative Support</v>
      </c>
      <c r="B31" s="5">
        <f>F6</f>
        <v>40000</v>
      </c>
      <c r="C31" s="5">
        <f t="shared" si="23"/>
        <v>40800</v>
      </c>
      <c r="D31" s="5">
        <f t="shared" si="23"/>
        <v>41616</v>
      </c>
      <c r="E31" s="5">
        <f t="shared" si="23"/>
        <v>42448.32</v>
      </c>
      <c r="F31" s="5">
        <f t="shared" si="23"/>
        <v>43297.286399999997</v>
      </c>
      <c r="G31" s="5">
        <f t="shared" si="23"/>
        <v>44163.232127999996</v>
      </c>
      <c r="H31" s="11"/>
      <c r="I31" s="5">
        <f>M6</f>
        <v>18000</v>
      </c>
      <c r="J31" s="5">
        <f t="shared" si="25"/>
        <v>18540</v>
      </c>
      <c r="K31" s="5">
        <f t="shared" si="25"/>
        <v>19096.2</v>
      </c>
      <c r="L31" s="5">
        <f t="shared" si="25"/>
        <v>19669.086000000003</v>
      </c>
      <c r="M31" s="5">
        <f t="shared" si="25"/>
        <v>20259.158580000003</v>
      </c>
      <c r="N31" s="5">
        <f t="shared" si="25"/>
        <v>20866.933337400005</v>
      </c>
      <c r="O31" s="11"/>
      <c r="P31" s="11"/>
      <c r="Q31" s="11"/>
      <c r="R31" s="11"/>
      <c r="S31" s="11"/>
      <c r="T31" s="11"/>
      <c r="U31" s="11"/>
      <c r="V31" s="11"/>
    </row>
    <row r="32" spans="1:22" x14ac:dyDescent="0.25">
      <c r="A32" s="8" t="str">
        <f>Summary!$E16</f>
        <v>Plant Operations</v>
      </c>
      <c r="B32" s="5">
        <f>F7</f>
        <v>40000</v>
      </c>
      <c r="C32" s="5">
        <f t="shared" si="23"/>
        <v>40800</v>
      </c>
      <c r="D32" s="5">
        <f t="shared" si="23"/>
        <v>41616</v>
      </c>
      <c r="E32" s="5">
        <f t="shared" si="23"/>
        <v>42448.32</v>
      </c>
      <c r="F32" s="5">
        <f t="shared" si="23"/>
        <v>43297.286399999997</v>
      </c>
      <c r="G32" s="5">
        <f t="shared" si="23"/>
        <v>44163.232127999996</v>
      </c>
      <c r="H32" s="11"/>
      <c r="I32" s="5">
        <f>M7</f>
        <v>18000</v>
      </c>
      <c r="J32" s="5">
        <f t="shared" si="25"/>
        <v>18540</v>
      </c>
      <c r="K32" s="5">
        <f t="shared" si="25"/>
        <v>19096.2</v>
      </c>
      <c r="L32" s="5">
        <f t="shared" si="25"/>
        <v>19669.086000000003</v>
      </c>
      <c r="M32" s="5">
        <f t="shared" si="25"/>
        <v>20259.158580000003</v>
      </c>
      <c r="N32" s="5">
        <f t="shared" si="25"/>
        <v>20866.933337400005</v>
      </c>
      <c r="O32" s="11"/>
      <c r="P32" s="11"/>
      <c r="Q32" s="11"/>
      <c r="R32" s="11"/>
      <c r="S32" s="11"/>
      <c r="T32" s="11"/>
      <c r="U32" s="11"/>
      <c r="V32" s="11"/>
    </row>
    <row r="33" spans="1:22" x14ac:dyDescent="0.25">
      <c r="A33" s="83"/>
      <c r="B33" s="14"/>
      <c r="C33" s="14"/>
      <c r="D33" s="14"/>
      <c r="E33" s="14"/>
      <c r="F33" s="14"/>
      <c r="G33" s="14"/>
      <c r="H33" s="11"/>
      <c r="I33" s="14"/>
      <c r="J33" s="14"/>
      <c r="K33" s="14"/>
      <c r="L33" s="14"/>
      <c r="M33" s="14"/>
      <c r="N33" s="14"/>
      <c r="O33" s="11"/>
      <c r="P33" s="11"/>
      <c r="Q33" s="11"/>
      <c r="R33" s="11"/>
      <c r="S33" s="11"/>
      <c r="T33" s="11"/>
      <c r="U33" s="11"/>
      <c r="V33" s="11"/>
    </row>
    <row r="34" spans="1:22" x14ac:dyDescent="0.25">
      <c r="A34" s="83"/>
      <c r="B34" s="11"/>
      <c r="C34" s="11"/>
      <c r="D34" s="11"/>
      <c r="E34" s="87" t="s">
        <v>66</v>
      </c>
      <c r="F34" s="11"/>
      <c r="G34" s="11"/>
      <c r="H34" s="11"/>
      <c r="I34" s="11"/>
      <c r="J34" s="11"/>
      <c r="K34" s="11"/>
      <c r="L34" s="108" t="s">
        <v>52</v>
      </c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1:22" x14ac:dyDescent="0.25">
      <c r="A35" s="19" t="s">
        <v>76</v>
      </c>
      <c r="B35" s="87">
        <f>Summary!$B$27+1</f>
        <v>2022</v>
      </c>
      <c r="C35" s="87">
        <f>B35+1</f>
        <v>2023</v>
      </c>
      <c r="D35" s="87">
        <f t="shared" ref="D35:F35" si="26">C35+1</f>
        <v>2024</v>
      </c>
      <c r="E35" s="87">
        <f t="shared" si="26"/>
        <v>2025</v>
      </c>
      <c r="F35" s="87">
        <f t="shared" si="26"/>
        <v>2026</v>
      </c>
      <c r="G35" s="87">
        <f>F35+1</f>
        <v>2027</v>
      </c>
      <c r="H35" s="11"/>
      <c r="I35" s="87">
        <f>Summary!$B$27+1</f>
        <v>2022</v>
      </c>
      <c r="J35" s="87">
        <f>I35+1</f>
        <v>2023</v>
      </c>
      <c r="K35" s="87">
        <f t="shared" ref="K35" si="27">J35+1</f>
        <v>2024</v>
      </c>
      <c r="L35" s="87">
        <f t="shared" ref="L35" si="28">K35+1</f>
        <v>2025</v>
      </c>
      <c r="M35" s="87">
        <f t="shared" ref="M35" si="29">L35+1</f>
        <v>2026</v>
      </c>
      <c r="N35" s="87">
        <f>M35+1</f>
        <v>2027</v>
      </c>
      <c r="O35" s="11"/>
      <c r="P35" s="11"/>
      <c r="Q35" s="11"/>
      <c r="R35" s="11"/>
      <c r="S35" s="11"/>
      <c r="T35" s="11"/>
      <c r="U35" s="11"/>
      <c r="V35" s="11"/>
    </row>
    <row r="36" spans="1:22" x14ac:dyDescent="0.25">
      <c r="A36" s="8" t="str">
        <f>Summary!$E12</f>
        <v>Instruction</v>
      </c>
      <c r="B36" s="5">
        <f>B10*B24+B15*B28</f>
        <v>9800000</v>
      </c>
      <c r="C36" s="5">
        <f t="shared" ref="C36:G36" si="30">C10*C24+C15*C28</f>
        <v>9976980</v>
      </c>
      <c r="D36" s="5">
        <f t="shared" si="30"/>
        <v>10156165.199999999</v>
      </c>
      <c r="E36" s="5">
        <f t="shared" si="30"/>
        <v>10337535.126000002</v>
      </c>
      <c r="F36" s="5">
        <f t="shared" si="30"/>
        <v>10521066.188160002</v>
      </c>
      <c r="G36" s="5">
        <f t="shared" si="30"/>
        <v>10706731.513569001</v>
      </c>
      <c r="H36" s="11"/>
      <c r="I36" s="5">
        <f>I10*I24+I15*I28</f>
        <v>390000</v>
      </c>
      <c r="J36" s="5">
        <f t="shared" ref="J36:N36" si="31">J10*J24+J15*J28</f>
        <v>475242</v>
      </c>
      <c r="K36" s="5">
        <f t="shared" si="31"/>
        <v>565247.52</v>
      </c>
      <c r="L36" s="5">
        <f t="shared" si="31"/>
        <v>660225.65339999995</v>
      </c>
      <c r="M36" s="5">
        <f t="shared" si="31"/>
        <v>760393.7520359999</v>
      </c>
      <c r="N36" s="5">
        <f t="shared" si="31"/>
        <v>865977.73350209999</v>
      </c>
      <c r="O36" s="11"/>
      <c r="P36" s="11"/>
      <c r="Q36" s="11"/>
      <c r="R36" s="11"/>
      <c r="S36" s="11"/>
      <c r="T36" s="11"/>
      <c r="U36" s="11"/>
      <c r="V36" s="11"/>
    </row>
    <row r="37" spans="1:22" x14ac:dyDescent="0.25">
      <c r="A37" s="8" t="str">
        <f>Summary!$E13</f>
        <v>Academic Support</v>
      </c>
      <c r="B37" s="5">
        <f>B11*B25+B16*B29</f>
        <v>1250000</v>
      </c>
      <c r="C37" s="5">
        <f t="shared" ref="C37:G37" si="32">C11*C25+C16*C29</f>
        <v>1263180</v>
      </c>
      <c r="D37" s="5">
        <f t="shared" si="32"/>
        <v>1276432.2000000002</v>
      </c>
      <c r="E37" s="5">
        <f t="shared" si="32"/>
        <v>1289755.5660000001</v>
      </c>
      <c r="F37" s="5">
        <f t="shared" si="32"/>
        <v>1303149.0342600003</v>
      </c>
      <c r="G37" s="5">
        <f t="shared" si="32"/>
        <v>1316611.5117390004</v>
      </c>
      <c r="H37" s="11"/>
      <c r="I37" s="5">
        <f>I11*I25+I16*I29</f>
        <v>90000</v>
      </c>
      <c r="J37" s="5">
        <f t="shared" ref="J37:N37" si="33">J11*J25+J16*J29</f>
        <v>88992</v>
      </c>
      <c r="K37" s="5">
        <f t="shared" si="33"/>
        <v>87842.51999999999</v>
      </c>
      <c r="L37" s="5">
        <f t="shared" si="33"/>
        <v>86543.978400000007</v>
      </c>
      <c r="M37" s="5">
        <f t="shared" si="33"/>
        <v>85088.466035999998</v>
      </c>
      <c r="N37" s="5">
        <f t="shared" si="33"/>
        <v>83467.733349600006</v>
      </c>
      <c r="O37" s="11"/>
      <c r="P37" s="11"/>
      <c r="Q37" s="11"/>
      <c r="R37" s="11"/>
      <c r="S37" s="11"/>
      <c r="T37" s="11"/>
      <c r="U37" s="11"/>
      <c r="V37" s="11"/>
    </row>
    <row r="38" spans="1:22" x14ac:dyDescent="0.25">
      <c r="A38" s="8" t="str">
        <f>Summary!$E14</f>
        <v>Student Affairs</v>
      </c>
      <c r="B38" s="5">
        <f t="shared" ref="B38:G40" si="34">B17*B30</f>
        <v>800000</v>
      </c>
      <c r="C38" s="5">
        <f t="shared" si="34"/>
        <v>799680</v>
      </c>
      <c r="D38" s="5">
        <f t="shared" si="34"/>
        <v>799027.20000000007</v>
      </c>
      <c r="E38" s="5">
        <f t="shared" si="34"/>
        <v>798028.4160000002</v>
      </c>
      <c r="F38" s="5">
        <f t="shared" si="34"/>
        <v>796670.06976000022</v>
      </c>
      <c r="G38" s="5">
        <f t="shared" si="34"/>
        <v>794938.17830400029</v>
      </c>
      <c r="H38" s="11"/>
      <c r="I38" s="5">
        <f t="shared" ref="I38:N40" si="35">I17*I30</f>
        <v>90000</v>
      </c>
      <c r="J38" s="5">
        <f t="shared" si="35"/>
        <v>88992</v>
      </c>
      <c r="K38" s="5">
        <f t="shared" si="35"/>
        <v>87842.51999999999</v>
      </c>
      <c r="L38" s="5">
        <f t="shared" si="35"/>
        <v>86543.978400000007</v>
      </c>
      <c r="M38" s="5">
        <f t="shared" si="35"/>
        <v>85088.466035999998</v>
      </c>
      <c r="N38" s="5">
        <f t="shared" si="35"/>
        <v>83467.733349600006</v>
      </c>
      <c r="O38" s="11"/>
      <c r="P38" s="11"/>
      <c r="Q38" s="11"/>
      <c r="R38" s="11"/>
      <c r="S38" s="11"/>
      <c r="T38" s="11"/>
      <c r="U38" s="11"/>
      <c r="V38" s="11"/>
    </row>
    <row r="39" spans="1:22" x14ac:dyDescent="0.25">
      <c r="A39" s="8" t="str">
        <f>Summary!$E15</f>
        <v>Administrative Support</v>
      </c>
      <c r="B39" s="5">
        <f t="shared" si="34"/>
        <v>800000</v>
      </c>
      <c r="C39" s="5">
        <f t="shared" si="34"/>
        <v>799680</v>
      </c>
      <c r="D39" s="5">
        <f t="shared" si="34"/>
        <v>799027.20000000007</v>
      </c>
      <c r="E39" s="5">
        <f t="shared" si="34"/>
        <v>798028.4160000002</v>
      </c>
      <c r="F39" s="5">
        <f t="shared" si="34"/>
        <v>796670.06976000022</v>
      </c>
      <c r="G39" s="5">
        <f t="shared" si="34"/>
        <v>794938.17830400029</v>
      </c>
      <c r="H39" s="11"/>
      <c r="I39" s="5">
        <f t="shared" si="35"/>
        <v>90000</v>
      </c>
      <c r="J39" s="5">
        <f t="shared" si="35"/>
        <v>88992</v>
      </c>
      <c r="K39" s="5">
        <f t="shared" si="35"/>
        <v>87842.51999999999</v>
      </c>
      <c r="L39" s="5">
        <f t="shared" si="35"/>
        <v>86543.978400000007</v>
      </c>
      <c r="M39" s="5">
        <f t="shared" si="35"/>
        <v>85088.466035999998</v>
      </c>
      <c r="N39" s="5">
        <f t="shared" si="35"/>
        <v>83467.733349600006</v>
      </c>
      <c r="O39" s="11"/>
      <c r="P39" s="11"/>
      <c r="Q39" s="11"/>
      <c r="R39" s="11"/>
      <c r="S39" s="11"/>
      <c r="T39" s="11"/>
      <c r="U39" s="11"/>
      <c r="V39" s="11"/>
    </row>
    <row r="40" spans="1:22" x14ac:dyDescent="0.25">
      <c r="A40" s="8" t="str">
        <f>Summary!$E16</f>
        <v>Plant Operations</v>
      </c>
      <c r="B40" s="5">
        <f t="shared" si="34"/>
        <v>800000</v>
      </c>
      <c r="C40" s="5">
        <f t="shared" si="34"/>
        <v>799680</v>
      </c>
      <c r="D40" s="5">
        <f t="shared" si="34"/>
        <v>799027.20000000007</v>
      </c>
      <c r="E40" s="5">
        <f t="shared" si="34"/>
        <v>798028.4160000002</v>
      </c>
      <c r="F40" s="5">
        <f t="shared" si="34"/>
        <v>796670.06976000022</v>
      </c>
      <c r="G40" s="5">
        <f t="shared" si="34"/>
        <v>794938.17830400029</v>
      </c>
      <c r="H40" s="11"/>
      <c r="I40" s="5">
        <f t="shared" si="35"/>
        <v>90000</v>
      </c>
      <c r="J40" s="5">
        <f t="shared" si="35"/>
        <v>88992</v>
      </c>
      <c r="K40" s="5">
        <f t="shared" si="35"/>
        <v>87842.51999999999</v>
      </c>
      <c r="L40" s="5">
        <f t="shared" si="35"/>
        <v>86543.978400000007</v>
      </c>
      <c r="M40" s="5">
        <f t="shared" si="35"/>
        <v>85088.466035999998</v>
      </c>
      <c r="N40" s="5">
        <f t="shared" si="35"/>
        <v>83467.733349600006</v>
      </c>
      <c r="O40" s="11"/>
      <c r="P40" s="11"/>
      <c r="Q40" s="11"/>
      <c r="R40" s="11"/>
      <c r="S40" s="11"/>
      <c r="T40" s="11"/>
      <c r="U40" s="11"/>
      <c r="V40" s="11"/>
    </row>
    <row r="41" spans="1:22" x14ac:dyDescent="0.25">
      <c r="A41" s="83"/>
      <c r="B41" s="14"/>
      <c r="C41" s="14"/>
      <c r="D41" s="14"/>
      <c r="E41" s="14"/>
      <c r="F41" s="14"/>
      <c r="G41" s="14"/>
      <c r="H41" s="11"/>
      <c r="I41" s="14"/>
      <c r="J41" s="14"/>
      <c r="K41" s="14"/>
      <c r="L41" s="14"/>
      <c r="M41" s="14"/>
      <c r="N41" s="14"/>
      <c r="O41" s="11"/>
      <c r="P41" s="11"/>
      <c r="Q41" s="11"/>
      <c r="R41" s="11"/>
      <c r="S41" s="11"/>
      <c r="T41" s="11"/>
      <c r="U41" s="11"/>
      <c r="V41" s="11"/>
    </row>
    <row r="42" spans="1:22" x14ac:dyDescent="0.25">
      <c r="A42" s="83"/>
      <c r="B42" s="11"/>
      <c r="C42" s="11"/>
      <c r="D42" s="11"/>
      <c r="E42" s="87" t="s">
        <v>66</v>
      </c>
      <c r="F42" s="11"/>
      <c r="G42" s="6"/>
      <c r="H42" s="10" t="s">
        <v>40</v>
      </c>
      <c r="I42" s="6"/>
      <c r="J42" s="11"/>
      <c r="K42" s="11"/>
      <c r="L42" s="108" t="s">
        <v>52</v>
      </c>
      <c r="M42" s="11"/>
      <c r="N42" s="6"/>
      <c r="O42" s="10" t="s">
        <v>40</v>
      </c>
      <c r="P42" s="6"/>
      <c r="Q42" s="11"/>
      <c r="R42" s="11"/>
      <c r="S42" s="11"/>
      <c r="T42" s="11"/>
      <c r="U42" s="11"/>
      <c r="V42" s="11"/>
    </row>
    <row r="43" spans="1:22" x14ac:dyDescent="0.25">
      <c r="A43" s="19" t="s">
        <v>77</v>
      </c>
      <c r="B43" s="87">
        <f>Summary!$B$27+1</f>
        <v>2022</v>
      </c>
      <c r="C43" s="87">
        <f>B43+1</f>
        <v>2023</v>
      </c>
      <c r="D43" s="87">
        <f t="shared" ref="D43:G43" si="36">C43+1</f>
        <v>2024</v>
      </c>
      <c r="E43" s="87">
        <f t="shared" si="36"/>
        <v>2025</v>
      </c>
      <c r="F43" s="87">
        <f t="shared" si="36"/>
        <v>2026</v>
      </c>
      <c r="G43" s="87">
        <f t="shared" si="36"/>
        <v>2027</v>
      </c>
      <c r="H43" s="101">
        <f>Summary!B24</f>
        <v>0.02</v>
      </c>
      <c r="I43" s="87">
        <f>Summary!$B$27+1</f>
        <v>2022</v>
      </c>
      <c r="J43" s="87">
        <f>I43+1</f>
        <v>2023</v>
      </c>
      <c r="K43" s="87">
        <f t="shared" ref="K43" si="37">J43+1</f>
        <v>2024</v>
      </c>
      <c r="L43" s="87">
        <f t="shared" ref="L43" si="38">K43+1</f>
        <v>2025</v>
      </c>
      <c r="M43" s="87">
        <f t="shared" ref="M43" si="39">L43+1</f>
        <v>2026</v>
      </c>
      <c r="N43" s="87">
        <f t="shared" ref="N43" si="40">M43+1</f>
        <v>2027</v>
      </c>
      <c r="O43" s="101">
        <f>Summary!B25</f>
        <v>0</v>
      </c>
      <c r="P43" s="11"/>
      <c r="Q43" s="11"/>
      <c r="R43" s="11"/>
      <c r="S43" s="11"/>
      <c r="T43" s="11"/>
      <c r="U43" s="11"/>
      <c r="V43" s="11"/>
    </row>
    <row r="44" spans="1:22" x14ac:dyDescent="0.25">
      <c r="A44" s="8" t="s">
        <v>42</v>
      </c>
      <c r="B44" s="16">
        <f>D3</f>
        <v>0.45</v>
      </c>
      <c r="C44" s="13">
        <f>B44*(1+$H$43)</f>
        <v>0.45900000000000002</v>
      </c>
      <c r="D44" s="13">
        <f t="shared" ref="D44:G44" si="41">C44*(1+$H$43)</f>
        <v>0.46818000000000004</v>
      </c>
      <c r="E44" s="13">
        <f t="shared" si="41"/>
        <v>0.47754360000000007</v>
      </c>
      <c r="F44" s="13">
        <f t="shared" si="41"/>
        <v>0.48709447200000006</v>
      </c>
      <c r="G44" s="13">
        <f t="shared" si="41"/>
        <v>0.49683636144000004</v>
      </c>
      <c r="H44" s="11"/>
      <c r="I44" s="16">
        <f>K3</f>
        <v>0.1</v>
      </c>
      <c r="J44" s="13">
        <f>I44*(1+$O$43)</f>
        <v>0.1</v>
      </c>
      <c r="K44" s="13">
        <f t="shared" ref="K44:N44" si="42">J44*(1+$O$43)</f>
        <v>0.1</v>
      </c>
      <c r="L44" s="13">
        <f t="shared" si="42"/>
        <v>0.1</v>
      </c>
      <c r="M44" s="13">
        <f t="shared" si="42"/>
        <v>0.1</v>
      </c>
      <c r="N44" s="13">
        <f t="shared" si="42"/>
        <v>0.1</v>
      </c>
      <c r="O44" s="11"/>
      <c r="P44" s="11"/>
      <c r="Q44" s="11"/>
      <c r="R44" s="11"/>
      <c r="S44" s="11"/>
      <c r="T44" s="11"/>
      <c r="U44" s="11"/>
      <c r="V44" s="11"/>
    </row>
    <row r="45" spans="1:22" x14ac:dyDescent="0.25">
      <c r="A45" s="8" t="s">
        <v>43</v>
      </c>
      <c r="B45" s="16">
        <f>G3</f>
        <v>0.45</v>
      </c>
      <c r="C45" s="13">
        <f t="shared" ref="C45:G49" si="43">B45*(1+$H$43)</f>
        <v>0.45900000000000002</v>
      </c>
      <c r="D45" s="13">
        <f t="shared" si="43"/>
        <v>0.46818000000000004</v>
      </c>
      <c r="E45" s="13">
        <f t="shared" si="43"/>
        <v>0.47754360000000007</v>
      </c>
      <c r="F45" s="13">
        <f t="shared" si="43"/>
        <v>0.48709447200000006</v>
      </c>
      <c r="G45" s="13">
        <f t="shared" si="43"/>
        <v>0.49683636144000004</v>
      </c>
      <c r="H45" s="11"/>
      <c r="I45" s="16">
        <f>N3</f>
        <v>0.1</v>
      </c>
      <c r="J45" s="13">
        <f t="shared" ref="J45:N45" si="44">I45*(1+$O$43)</f>
        <v>0.1</v>
      </c>
      <c r="K45" s="13">
        <f t="shared" si="44"/>
        <v>0.1</v>
      </c>
      <c r="L45" s="13">
        <f t="shared" si="44"/>
        <v>0.1</v>
      </c>
      <c r="M45" s="13">
        <f t="shared" si="44"/>
        <v>0.1</v>
      </c>
      <c r="N45" s="13">
        <f t="shared" si="44"/>
        <v>0.1</v>
      </c>
      <c r="O45" s="11"/>
      <c r="P45" s="11"/>
      <c r="Q45" s="11"/>
      <c r="R45" s="11"/>
      <c r="S45" s="11"/>
      <c r="T45" s="11"/>
      <c r="U45" s="11"/>
      <c r="V45" s="11"/>
    </row>
    <row r="46" spans="1:22" x14ac:dyDescent="0.25">
      <c r="A46" s="8" t="str">
        <f>Summary!$E13</f>
        <v>Academic Support</v>
      </c>
      <c r="B46" s="16">
        <f>G4</f>
        <v>0.45</v>
      </c>
      <c r="C46" s="13">
        <f t="shared" si="43"/>
        <v>0.45900000000000002</v>
      </c>
      <c r="D46" s="13">
        <f t="shared" si="43"/>
        <v>0.46818000000000004</v>
      </c>
      <c r="E46" s="13">
        <f t="shared" si="43"/>
        <v>0.47754360000000007</v>
      </c>
      <c r="F46" s="13">
        <f t="shared" si="43"/>
        <v>0.48709447200000006</v>
      </c>
      <c r="G46" s="13">
        <f t="shared" si="43"/>
        <v>0.49683636144000004</v>
      </c>
      <c r="H46" s="11"/>
      <c r="I46" s="16">
        <f>N4</f>
        <v>0.1</v>
      </c>
      <c r="J46" s="13">
        <f t="shared" ref="J46:N46" si="45">I46*(1+$O$43)</f>
        <v>0.1</v>
      </c>
      <c r="K46" s="13">
        <f t="shared" si="45"/>
        <v>0.1</v>
      </c>
      <c r="L46" s="13">
        <f t="shared" si="45"/>
        <v>0.1</v>
      </c>
      <c r="M46" s="13">
        <f t="shared" si="45"/>
        <v>0.1</v>
      </c>
      <c r="N46" s="13">
        <f t="shared" si="45"/>
        <v>0.1</v>
      </c>
      <c r="O46" s="11"/>
      <c r="P46" s="11"/>
      <c r="Q46" s="11"/>
      <c r="R46" s="11"/>
      <c r="S46" s="11"/>
      <c r="T46" s="11"/>
      <c r="U46" s="11"/>
      <c r="V46" s="11"/>
    </row>
    <row r="47" spans="1:22" x14ac:dyDescent="0.25">
      <c r="A47" s="8" t="str">
        <f>Summary!$E14</f>
        <v>Student Affairs</v>
      </c>
      <c r="B47" s="16">
        <f>G5</f>
        <v>0.45</v>
      </c>
      <c r="C47" s="13">
        <f t="shared" si="43"/>
        <v>0.45900000000000002</v>
      </c>
      <c r="D47" s="13">
        <f t="shared" si="43"/>
        <v>0.46818000000000004</v>
      </c>
      <c r="E47" s="13">
        <f t="shared" si="43"/>
        <v>0.47754360000000007</v>
      </c>
      <c r="F47" s="13">
        <f t="shared" si="43"/>
        <v>0.48709447200000006</v>
      </c>
      <c r="G47" s="13">
        <f t="shared" si="43"/>
        <v>0.49683636144000004</v>
      </c>
      <c r="H47" s="11"/>
      <c r="I47" s="16">
        <f>N5</f>
        <v>0.1</v>
      </c>
      <c r="J47" s="13">
        <f t="shared" ref="J47:N47" si="46">I47*(1+$O$43)</f>
        <v>0.1</v>
      </c>
      <c r="K47" s="13">
        <f t="shared" si="46"/>
        <v>0.1</v>
      </c>
      <c r="L47" s="13">
        <f t="shared" si="46"/>
        <v>0.1</v>
      </c>
      <c r="M47" s="13">
        <f t="shared" si="46"/>
        <v>0.1</v>
      </c>
      <c r="N47" s="13">
        <f t="shared" si="46"/>
        <v>0.1</v>
      </c>
      <c r="O47" s="11"/>
      <c r="P47" s="11"/>
      <c r="Q47" s="11"/>
      <c r="R47" s="11"/>
      <c r="S47" s="11"/>
      <c r="T47" s="11"/>
      <c r="U47" s="11"/>
      <c r="V47" s="11"/>
    </row>
    <row r="48" spans="1:22" x14ac:dyDescent="0.25">
      <c r="A48" s="8" t="str">
        <f>Summary!$E15</f>
        <v>Administrative Support</v>
      </c>
      <c r="B48" s="16">
        <f>G6</f>
        <v>0.45</v>
      </c>
      <c r="C48" s="13">
        <f t="shared" si="43"/>
        <v>0.45900000000000002</v>
      </c>
      <c r="D48" s="13">
        <f t="shared" si="43"/>
        <v>0.46818000000000004</v>
      </c>
      <c r="E48" s="13">
        <f t="shared" si="43"/>
        <v>0.47754360000000007</v>
      </c>
      <c r="F48" s="13">
        <f t="shared" si="43"/>
        <v>0.48709447200000006</v>
      </c>
      <c r="G48" s="13">
        <f t="shared" si="43"/>
        <v>0.49683636144000004</v>
      </c>
      <c r="H48" s="11"/>
      <c r="I48" s="16">
        <f>N6</f>
        <v>0.1</v>
      </c>
      <c r="J48" s="13">
        <f t="shared" ref="J48:N48" si="47">I48*(1+$O$43)</f>
        <v>0.1</v>
      </c>
      <c r="K48" s="13">
        <f t="shared" si="47"/>
        <v>0.1</v>
      </c>
      <c r="L48" s="13">
        <f t="shared" si="47"/>
        <v>0.1</v>
      </c>
      <c r="M48" s="13">
        <f t="shared" si="47"/>
        <v>0.1</v>
      </c>
      <c r="N48" s="13">
        <f t="shared" si="47"/>
        <v>0.1</v>
      </c>
      <c r="O48" s="11"/>
      <c r="P48" s="11"/>
      <c r="Q48" s="11"/>
      <c r="R48" s="11"/>
      <c r="S48" s="11"/>
      <c r="T48" s="11"/>
      <c r="U48" s="11"/>
      <c r="V48" s="11"/>
    </row>
    <row r="49" spans="1:22" x14ac:dyDescent="0.25">
      <c r="A49" s="8" t="str">
        <f>Summary!$E16</f>
        <v>Plant Operations</v>
      </c>
      <c r="B49" s="16">
        <f>G7</f>
        <v>0.45</v>
      </c>
      <c r="C49" s="13">
        <f t="shared" si="43"/>
        <v>0.45900000000000002</v>
      </c>
      <c r="D49" s="13">
        <f t="shared" si="43"/>
        <v>0.46818000000000004</v>
      </c>
      <c r="E49" s="13">
        <f t="shared" si="43"/>
        <v>0.47754360000000007</v>
      </c>
      <c r="F49" s="13">
        <f t="shared" si="43"/>
        <v>0.48709447200000006</v>
      </c>
      <c r="G49" s="13">
        <f t="shared" si="43"/>
        <v>0.49683636144000004</v>
      </c>
      <c r="H49" s="11"/>
      <c r="I49" s="16">
        <f>N7</f>
        <v>0.1</v>
      </c>
      <c r="J49" s="13">
        <f t="shared" ref="J49:N49" si="48">I49*(1+$O$43)</f>
        <v>0.1</v>
      </c>
      <c r="K49" s="13">
        <f t="shared" si="48"/>
        <v>0.1</v>
      </c>
      <c r="L49" s="13">
        <f t="shared" si="48"/>
        <v>0.1</v>
      </c>
      <c r="M49" s="13">
        <f t="shared" si="48"/>
        <v>0.1</v>
      </c>
      <c r="N49" s="13">
        <f t="shared" si="48"/>
        <v>0.1</v>
      </c>
      <c r="O49" s="11"/>
      <c r="P49" s="11"/>
      <c r="Q49" s="11"/>
      <c r="R49" s="11"/>
      <c r="S49" s="11"/>
      <c r="T49" s="11"/>
      <c r="U49" s="11"/>
      <c r="V49" s="11"/>
    </row>
    <row r="50" spans="1:22" x14ac:dyDescent="0.25">
      <c r="A50" s="83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</row>
    <row r="51" spans="1:22" x14ac:dyDescent="0.25">
      <c r="A51" s="19" t="s">
        <v>22</v>
      </c>
      <c r="B51" s="87">
        <f>Summary!$B$27+1</f>
        <v>2022</v>
      </c>
      <c r="C51" s="87">
        <f>B51+1</f>
        <v>2023</v>
      </c>
      <c r="D51" s="87">
        <f t="shared" ref="D51:F51" si="49">C51+1</f>
        <v>2024</v>
      </c>
      <c r="E51" s="87">
        <f t="shared" si="49"/>
        <v>2025</v>
      </c>
      <c r="F51" s="87">
        <f t="shared" si="49"/>
        <v>2026</v>
      </c>
      <c r="G51" s="87">
        <f>F51+1</f>
        <v>2027</v>
      </c>
      <c r="H51" s="11"/>
      <c r="I51" s="87">
        <f>Summary!$B$27+1</f>
        <v>2022</v>
      </c>
      <c r="J51" s="87">
        <f>I51+1</f>
        <v>2023</v>
      </c>
      <c r="K51" s="87">
        <f t="shared" ref="K51" si="50">J51+1</f>
        <v>2024</v>
      </c>
      <c r="L51" s="87">
        <f t="shared" ref="L51" si="51">K51+1</f>
        <v>2025</v>
      </c>
      <c r="M51" s="87">
        <f t="shared" ref="M51" si="52">L51+1</f>
        <v>2026</v>
      </c>
      <c r="N51" s="87">
        <f>M51+1</f>
        <v>2027</v>
      </c>
      <c r="O51" s="11"/>
      <c r="P51" s="11"/>
      <c r="Q51" s="11"/>
      <c r="R51" s="11"/>
      <c r="S51" s="11"/>
      <c r="T51" s="11"/>
      <c r="U51" s="11"/>
      <c r="V51" s="11"/>
    </row>
    <row r="52" spans="1:22" x14ac:dyDescent="0.25">
      <c r="A52" s="8" t="str">
        <f>Summary!$E12</f>
        <v>Instruction</v>
      </c>
      <c r="B52" s="3">
        <f t="shared" ref="B52:G52" si="53">B44*B10*B24+B45*B15*B28</f>
        <v>4410000</v>
      </c>
      <c r="C52" s="3">
        <f t="shared" si="53"/>
        <v>4579433.82</v>
      </c>
      <c r="D52" s="3">
        <f t="shared" si="53"/>
        <v>4754913.4233360011</v>
      </c>
      <c r="E52" s="3">
        <f t="shared" si="53"/>
        <v>4936623.7391964942</v>
      </c>
      <c r="F52" s="3">
        <f t="shared" si="53"/>
        <v>5124753.1797988489</v>
      </c>
      <c r="G52" s="3">
        <f t="shared" si="53"/>
        <v>5319493.5281166071</v>
      </c>
      <c r="H52" s="11"/>
      <c r="I52" s="3">
        <f t="shared" ref="I52:N52" si="54">I44*I10*I24+I45*I15*I28</f>
        <v>39000</v>
      </c>
      <c r="J52" s="3">
        <f t="shared" si="54"/>
        <v>47524.2</v>
      </c>
      <c r="K52" s="3">
        <f t="shared" si="54"/>
        <v>56524.752</v>
      </c>
      <c r="L52" s="3">
        <f t="shared" si="54"/>
        <v>66022.565340000001</v>
      </c>
      <c r="M52" s="3">
        <f t="shared" si="54"/>
        <v>76039.375203599993</v>
      </c>
      <c r="N52" s="3">
        <f t="shared" si="54"/>
        <v>86597.773350210002</v>
      </c>
      <c r="O52" s="11"/>
      <c r="P52" s="11"/>
      <c r="Q52" s="11"/>
      <c r="R52" s="11"/>
      <c r="S52" s="11"/>
      <c r="T52" s="11"/>
      <c r="U52" s="11"/>
      <c r="V52" s="11"/>
    </row>
    <row r="53" spans="1:22" x14ac:dyDescent="0.25">
      <c r="A53" s="8" t="str">
        <f>Summary!$E13</f>
        <v>Academic Support</v>
      </c>
      <c r="B53" s="5">
        <f>B46*B16*B29</f>
        <v>360000</v>
      </c>
      <c r="C53" s="5">
        <f t="shared" ref="C53:G53" si="55">C46*C16*C29</f>
        <v>367053.12000000005</v>
      </c>
      <c r="D53" s="5">
        <f t="shared" si="55"/>
        <v>374088.55449600006</v>
      </c>
      <c r="E53" s="5">
        <f t="shared" si="55"/>
        <v>381093.36267893773</v>
      </c>
      <c r="F53" s="5">
        <f t="shared" si="55"/>
        <v>388053.58698795055</v>
      </c>
      <c r="G53" s="5">
        <f t="shared" si="55"/>
        <v>394954.19207830145</v>
      </c>
      <c r="H53" s="11"/>
      <c r="I53" s="5">
        <f>I46*I16*I29</f>
        <v>9000</v>
      </c>
      <c r="J53" s="5">
        <f t="shared" ref="J53:N53" si="56">J46*J16*J29</f>
        <v>8899.1999999999989</v>
      </c>
      <c r="K53" s="5">
        <f t="shared" si="56"/>
        <v>8784.2520000000004</v>
      </c>
      <c r="L53" s="5">
        <f t="shared" si="56"/>
        <v>8654.3978399999996</v>
      </c>
      <c r="M53" s="5">
        <f t="shared" si="56"/>
        <v>8508.8466035999991</v>
      </c>
      <c r="N53" s="5">
        <f t="shared" si="56"/>
        <v>8346.7733349600003</v>
      </c>
      <c r="O53" s="11"/>
      <c r="P53" s="11"/>
      <c r="Q53" s="11"/>
      <c r="R53" s="11"/>
      <c r="S53" s="11"/>
      <c r="T53" s="11"/>
      <c r="U53" s="11"/>
      <c r="V53" s="11"/>
    </row>
    <row r="54" spans="1:22" x14ac:dyDescent="0.25">
      <c r="A54" s="8" t="str">
        <f>Summary!$E14</f>
        <v>Student Affairs</v>
      </c>
      <c r="B54" s="5">
        <f>B47*B17*B30</f>
        <v>360000</v>
      </c>
      <c r="C54" s="5">
        <f t="shared" ref="C54:G56" si="57">C47*C17*C30</f>
        <v>367053.12000000005</v>
      </c>
      <c r="D54" s="5">
        <f t="shared" si="57"/>
        <v>374088.55449600006</v>
      </c>
      <c r="E54" s="5">
        <f t="shared" si="57"/>
        <v>381093.36267893773</v>
      </c>
      <c r="F54" s="5">
        <f t="shared" si="57"/>
        <v>388053.58698795055</v>
      </c>
      <c r="G54" s="5">
        <f t="shared" si="57"/>
        <v>394954.19207830145</v>
      </c>
      <c r="H54" s="11"/>
      <c r="I54" s="5">
        <f>I47*I17*I30</f>
        <v>9000</v>
      </c>
      <c r="J54" s="5">
        <f t="shared" ref="J54:N56" si="58">J47*J17*J30</f>
        <v>8899.1999999999989</v>
      </c>
      <c r="K54" s="5">
        <f t="shared" si="58"/>
        <v>8784.2520000000004</v>
      </c>
      <c r="L54" s="5">
        <f t="shared" si="58"/>
        <v>8654.3978399999996</v>
      </c>
      <c r="M54" s="5">
        <f t="shared" si="58"/>
        <v>8508.8466035999991</v>
      </c>
      <c r="N54" s="5">
        <f t="shared" si="58"/>
        <v>8346.7733349600003</v>
      </c>
      <c r="O54" s="11"/>
      <c r="P54" s="11"/>
      <c r="Q54" s="11"/>
      <c r="R54" s="11"/>
      <c r="S54" s="11"/>
      <c r="T54" s="11"/>
      <c r="U54" s="11"/>
      <c r="V54" s="11"/>
    </row>
    <row r="55" spans="1:22" x14ac:dyDescent="0.25">
      <c r="A55" s="8" t="str">
        <f>Summary!$E15</f>
        <v>Administrative Support</v>
      </c>
      <c r="B55" s="5">
        <f>B48*B18*B31</f>
        <v>360000</v>
      </c>
      <c r="C55" s="5">
        <f t="shared" si="57"/>
        <v>367053.12000000005</v>
      </c>
      <c r="D55" s="5">
        <f t="shared" si="57"/>
        <v>374088.55449600006</v>
      </c>
      <c r="E55" s="5">
        <f t="shared" si="57"/>
        <v>381093.36267893773</v>
      </c>
      <c r="F55" s="5">
        <f t="shared" si="57"/>
        <v>388053.58698795055</v>
      </c>
      <c r="G55" s="5">
        <f t="shared" si="57"/>
        <v>394954.19207830145</v>
      </c>
      <c r="H55" s="11"/>
      <c r="I55" s="5">
        <f>I48*I18*I31</f>
        <v>9000</v>
      </c>
      <c r="J55" s="5">
        <f t="shared" si="58"/>
        <v>8899.1999999999989</v>
      </c>
      <c r="K55" s="5">
        <f t="shared" si="58"/>
        <v>8784.2520000000004</v>
      </c>
      <c r="L55" s="5">
        <f t="shared" si="58"/>
        <v>8654.3978399999996</v>
      </c>
      <c r="M55" s="5">
        <f t="shared" si="58"/>
        <v>8508.8466035999991</v>
      </c>
      <c r="N55" s="5">
        <f t="shared" si="58"/>
        <v>8346.7733349600003</v>
      </c>
      <c r="O55" s="11"/>
      <c r="P55" s="11"/>
      <c r="Q55" s="11"/>
      <c r="R55" s="11"/>
      <c r="S55" s="11"/>
      <c r="T55" s="11"/>
      <c r="U55" s="11"/>
      <c r="V55" s="11"/>
    </row>
    <row r="56" spans="1:22" x14ac:dyDescent="0.25">
      <c r="A56" s="8" t="str">
        <f>Summary!$E16</f>
        <v>Plant Operations</v>
      </c>
      <c r="B56" s="5">
        <f>B49*B19*B32</f>
        <v>360000</v>
      </c>
      <c r="C56" s="5">
        <f t="shared" si="57"/>
        <v>367053.12000000005</v>
      </c>
      <c r="D56" s="5">
        <f t="shared" si="57"/>
        <v>374088.55449600006</v>
      </c>
      <c r="E56" s="5">
        <f t="shared" si="57"/>
        <v>381093.36267893773</v>
      </c>
      <c r="F56" s="5">
        <f t="shared" si="57"/>
        <v>388053.58698795055</v>
      </c>
      <c r="G56" s="5">
        <f t="shared" si="57"/>
        <v>394954.19207830145</v>
      </c>
      <c r="H56" s="11"/>
      <c r="I56" s="5">
        <f>I49*I19*I32</f>
        <v>9000</v>
      </c>
      <c r="J56" s="5">
        <f t="shared" si="58"/>
        <v>8899.1999999999989</v>
      </c>
      <c r="K56" s="5">
        <f t="shared" si="58"/>
        <v>8784.2520000000004</v>
      </c>
      <c r="L56" s="5">
        <f t="shared" si="58"/>
        <v>8654.3978399999996</v>
      </c>
      <c r="M56" s="5">
        <f t="shared" si="58"/>
        <v>8508.8466035999991</v>
      </c>
      <c r="N56" s="5">
        <f t="shared" si="58"/>
        <v>8346.7733349600003</v>
      </c>
      <c r="O56" s="11"/>
      <c r="P56" s="11"/>
      <c r="Q56" s="11"/>
      <c r="R56" s="11"/>
      <c r="S56" s="11"/>
      <c r="T56" s="11"/>
      <c r="U56" s="11"/>
      <c r="V56" s="11"/>
    </row>
    <row r="57" spans="1:22" x14ac:dyDescent="0.25">
      <c r="A57" s="83"/>
      <c r="B57" s="11"/>
      <c r="C57" s="11"/>
      <c r="D57" s="11"/>
      <c r="E57" s="11"/>
      <c r="F57" s="11"/>
      <c r="G57" s="6"/>
      <c r="H57" s="10" t="s">
        <v>44</v>
      </c>
      <c r="I57" s="6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</row>
    <row r="58" spans="1:22" x14ac:dyDescent="0.25">
      <c r="A58" s="19" t="s">
        <v>23</v>
      </c>
      <c r="B58" s="87">
        <f>Summary!$B$27+1</f>
        <v>2022</v>
      </c>
      <c r="C58" s="87">
        <f>B58+1</f>
        <v>2023</v>
      </c>
      <c r="D58" s="87">
        <f t="shared" ref="D58:F58" si="59">C58+1</f>
        <v>2024</v>
      </c>
      <c r="E58" s="87">
        <f t="shared" si="59"/>
        <v>2025</v>
      </c>
      <c r="F58" s="87">
        <f t="shared" si="59"/>
        <v>2026</v>
      </c>
      <c r="G58" s="87">
        <f>F58+1</f>
        <v>2027</v>
      </c>
      <c r="H58" s="101">
        <f>Summary!B18</f>
        <v>0.02</v>
      </c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</row>
    <row r="59" spans="1:22" x14ac:dyDescent="0.25">
      <c r="A59" s="8" t="str">
        <f>Summary!$E12</f>
        <v>Instruction</v>
      </c>
      <c r="B59" s="5">
        <f>H3</f>
        <v>200000</v>
      </c>
      <c r="C59" s="5">
        <f t="shared" ref="C59:G63" si="60">B59*(1+$H$58+$P$3)</f>
        <v>208000</v>
      </c>
      <c r="D59" s="5">
        <f t="shared" si="60"/>
        <v>216320</v>
      </c>
      <c r="E59" s="5">
        <f t="shared" si="60"/>
        <v>224972.80000000002</v>
      </c>
      <c r="F59" s="5">
        <f t="shared" si="60"/>
        <v>233971.71200000003</v>
      </c>
      <c r="G59" s="5">
        <f t="shared" si="60"/>
        <v>243330.58048000003</v>
      </c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x14ac:dyDescent="0.25">
      <c r="A60" s="8" t="str">
        <f>Summary!$E13</f>
        <v>Academic Support</v>
      </c>
      <c r="B60" s="5">
        <f>H4</f>
        <v>200000</v>
      </c>
      <c r="C60" s="5">
        <f t="shared" si="60"/>
        <v>208000</v>
      </c>
      <c r="D60" s="5">
        <f t="shared" si="60"/>
        <v>216320</v>
      </c>
      <c r="E60" s="5">
        <f t="shared" si="60"/>
        <v>224972.80000000002</v>
      </c>
      <c r="F60" s="5">
        <f t="shared" si="60"/>
        <v>233971.71200000003</v>
      </c>
      <c r="G60" s="5">
        <f t="shared" si="60"/>
        <v>243330.58048000003</v>
      </c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x14ac:dyDescent="0.25">
      <c r="A61" s="8" t="str">
        <f>Summary!$E14</f>
        <v>Student Affairs</v>
      </c>
      <c r="B61" s="5">
        <f>H5</f>
        <v>200000</v>
      </c>
      <c r="C61" s="5">
        <f t="shared" si="60"/>
        <v>208000</v>
      </c>
      <c r="D61" s="5">
        <f t="shared" si="60"/>
        <v>216320</v>
      </c>
      <c r="E61" s="5">
        <f t="shared" si="60"/>
        <v>224972.80000000002</v>
      </c>
      <c r="F61" s="5">
        <f t="shared" si="60"/>
        <v>233971.71200000003</v>
      </c>
      <c r="G61" s="5">
        <f t="shared" si="60"/>
        <v>243330.58048000003</v>
      </c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</row>
    <row r="62" spans="1:22" x14ac:dyDescent="0.25">
      <c r="A62" s="8" t="str">
        <f>Summary!$E15</f>
        <v>Administrative Support</v>
      </c>
      <c r="B62" s="5">
        <f>H6</f>
        <v>200000</v>
      </c>
      <c r="C62" s="5">
        <f t="shared" si="60"/>
        <v>208000</v>
      </c>
      <c r="D62" s="5">
        <f t="shared" si="60"/>
        <v>216320</v>
      </c>
      <c r="E62" s="5">
        <f t="shared" si="60"/>
        <v>224972.80000000002</v>
      </c>
      <c r="F62" s="5">
        <f t="shared" si="60"/>
        <v>233971.71200000003</v>
      </c>
      <c r="G62" s="5">
        <f t="shared" si="60"/>
        <v>243330.58048000003</v>
      </c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  <row r="63" spans="1:22" x14ac:dyDescent="0.25">
      <c r="A63" s="8" t="str">
        <f>Summary!$E16</f>
        <v>Plant Operations</v>
      </c>
      <c r="B63" s="5">
        <f>H7</f>
        <v>800000</v>
      </c>
      <c r="C63" s="5">
        <f t="shared" si="60"/>
        <v>832000</v>
      </c>
      <c r="D63" s="5">
        <f t="shared" si="60"/>
        <v>865280</v>
      </c>
      <c r="E63" s="5">
        <f t="shared" si="60"/>
        <v>899891.20000000007</v>
      </c>
      <c r="F63" s="5">
        <f t="shared" si="60"/>
        <v>935886.84800000011</v>
      </c>
      <c r="G63" s="5">
        <f t="shared" si="60"/>
        <v>973322.32192000013</v>
      </c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  <row r="64" spans="1:22" x14ac:dyDescent="0.25">
      <c r="A64" s="83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</row>
    <row r="65" spans="1:22" x14ac:dyDescent="0.25">
      <c r="A65" s="19" t="s">
        <v>30</v>
      </c>
      <c r="B65" s="87">
        <f>Summary!$B$27+1</f>
        <v>2022</v>
      </c>
      <c r="C65" s="87">
        <f>B65+1</f>
        <v>2023</v>
      </c>
      <c r="D65" s="87">
        <f t="shared" ref="D65:G65" si="61">C65+1</f>
        <v>2024</v>
      </c>
      <c r="E65" s="87">
        <f t="shared" si="61"/>
        <v>2025</v>
      </c>
      <c r="F65" s="87">
        <f t="shared" si="61"/>
        <v>2026</v>
      </c>
      <c r="G65" s="87">
        <f t="shared" si="61"/>
        <v>2027</v>
      </c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</row>
    <row r="66" spans="1:22" x14ac:dyDescent="0.25">
      <c r="A66" s="8" t="str">
        <f>Summary!$E12</f>
        <v>Instruction</v>
      </c>
      <c r="B66" s="17">
        <f>B36+B52+B59+I36+I52</f>
        <v>14839000</v>
      </c>
      <c r="C66" s="17">
        <f t="shared" ref="C66:G70" si="62">C36+C52+C59+J36+J52</f>
        <v>15287180.02</v>
      </c>
      <c r="D66" s="17">
        <f t="shared" si="62"/>
        <v>15749170.895336</v>
      </c>
      <c r="E66" s="17">
        <f t="shared" si="62"/>
        <v>16225379.883936496</v>
      </c>
      <c r="F66" s="17">
        <f t="shared" si="62"/>
        <v>16716224.20719845</v>
      </c>
      <c r="G66" s="17">
        <f t="shared" si="62"/>
        <v>17222131.129017916</v>
      </c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</row>
    <row r="67" spans="1:22" x14ac:dyDescent="0.25">
      <c r="A67" s="8" t="str">
        <f>Summary!$E13</f>
        <v>Academic Support</v>
      </c>
      <c r="B67" s="17">
        <f t="shared" ref="B67:B70" si="63">B37+B53+B60+I37+I53</f>
        <v>1909000</v>
      </c>
      <c r="C67" s="17">
        <f t="shared" si="62"/>
        <v>1936124.32</v>
      </c>
      <c r="D67" s="17">
        <f t="shared" si="62"/>
        <v>1963467.5264960004</v>
      </c>
      <c r="E67" s="17">
        <f t="shared" si="62"/>
        <v>1991020.1049189377</v>
      </c>
      <c r="F67" s="17">
        <f t="shared" si="62"/>
        <v>2018771.6458875511</v>
      </c>
      <c r="G67" s="17">
        <f t="shared" si="62"/>
        <v>2046710.790981862</v>
      </c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</row>
    <row r="68" spans="1:22" x14ac:dyDescent="0.25">
      <c r="A68" s="8" t="str">
        <f>Summary!$E14</f>
        <v>Student Affairs</v>
      </c>
      <c r="B68" s="17">
        <f t="shared" si="63"/>
        <v>1459000</v>
      </c>
      <c r="C68" s="17">
        <f t="shared" si="62"/>
        <v>1472624.32</v>
      </c>
      <c r="D68" s="17">
        <f t="shared" si="62"/>
        <v>1486062.5264960004</v>
      </c>
      <c r="E68" s="17">
        <f t="shared" si="62"/>
        <v>1499292.9549189378</v>
      </c>
      <c r="F68" s="17">
        <f t="shared" si="62"/>
        <v>1512292.6813875509</v>
      </c>
      <c r="G68" s="17">
        <f t="shared" si="62"/>
        <v>1525037.4575468618</v>
      </c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</row>
    <row r="69" spans="1:22" x14ac:dyDescent="0.25">
      <c r="A69" s="8" t="str">
        <f>Summary!$E15</f>
        <v>Administrative Support</v>
      </c>
      <c r="B69" s="17">
        <f t="shared" si="63"/>
        <v>1459000</v>
      </c>
      <c r="C69" s="17">
        <f t="shared" si="62"/>
        <v>1472624.32</v>
      </c>
      <c r="D69" s="17">
        <f t="shared" si="62"/>
        <v>1486062.5264960004</v>
      </c>
      <c r="E69" s="17">
        <f t="shared" si="62"/>
        <v>1499292.9549189378</v>
      </c>
      <c r="F69" s="17">
        <f t="shared" si="62"/>
        <v>1512292.6813875509</v>
      </c>
      <c r="G69" s="17">
        <f t="shared" si="62"/>
        <v>1525037.4575468618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</row>
    <row r="70" spans="1:22" x14ac:dyDescent="0.25">
      <c r="A70" s="8" t="str">
        <f>Summary!$E16</f>
        <v>Plant Operations</v>
      </c>
      <c r="B70" s="18">
        <f t="shared" si="63"/>
        <v>2059000</v>
      </c>
      <c r="C70" s="18">
        <f t="shared" si="62"/>
        <v>2096624.32</v>
      </c>
      <c r="D70" s="18">
        <f t="shared" si="62"/>
        <v>2135022.5264960001</v>
      </c>
      <c r="E70" s="18">
        <f t="shared" si="62"/>
        <v>2174211.3549189381</v>
      </c>
      <c r="F70" s="18">
        <f t="shared" si="62"/>
        <v>2214207.8173875506</v>
      </c>
      <c r="G70" s="18">
        <f t="shared" si="62"/>
        <v>2255029.1989868619</v>
      </c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</row>
    <row r="71" spans="1:22" x14ac:dyDescent="0.25">
      <c r="A71" s="8" t="str">
        <f>Summary!$E17</f>
        <v xml:space="preserve">Total Expenses           </v>
      </c>
      <c r="B71" s="5">
        <f>SUM(B66:B70)</f>
        <v>21725000</v>
      </c>
      <c r="C71" s="5">
        <f t="shared" ref="C71:G71" si="64">SUM(C66:C70)</f>
        <v>22265177.300000001</v>
      </c>
      <c r="D71" s="5">
        <f t="shared" si="64"/>
        <v>22819786.001320001</v>
      </c>
      <c r="E71" s="5">
        <f t="shared" si="64"/>
        <v>23389197.253612246</v>
      </c>
      <c r="F71" s="5">
        <f t="shared" si="64"/>
        <v>23973789.033248655</v>
      </c>
      <c r="G71" s="5">
        <f t="shared" si="64"/>
        <v>24573946.03408036</v>
      </c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</row>
    <row r="72" spans="1:22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</row>
    <row r="73" spans="1:22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</row>
    <row r="74" spans="1:22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</row>
    <row r="75" spans="1:22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</row>
    <row r="76" spans="1:22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7C76-0BBD-4EBC-A9C5-6FB72694A646}">
  <dimension ref="A1:Q59"/>
  <sheetViews>
    <sheetView workbookViewId="0"/>
  </sheetViews>
  <sheetFormatPr defaultRowHeight="15" x14ac:dyDescent="0.25"/>
  <cols>
    <col min="1" max="1" width="28.85546875" customWidth="1"/>
    <col min="2" max="7" width="14" customWidth="1"/>
    <col min="8" max="8" width="10.85546875" customWidth="1"/>
  </cols>
  <sheetData>
    <row r="1" spans="1:17" x14ac:dyDescent="0.25">
      <c r="A1" s="117" t="str">
        <f>Summary!A1</f>
        <v>Runaway Valley College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x14ac:dyDescent="0.25">
      <c r="A2" s="118" t="s">
        <v>95</v>
      </c>
      <c r="B2" s="119">
        <f>Summary!F3</f>
        <v>2022</v>
      </c>
      <c r="C2" s="119">
        <f>Summary!G3</f>
        <v>2023</v>
      </c>
      <c r="D2" s="119">
        <f>Summary!H3</f>
        <v>2024</v>
      </c>
      <c r="E2" s="119">
        <f>Summary!I3</f>
        <v>2025</v>
      </c>
      <c r="F2" s="119">
        <f>Summary!J3</f>
        <v>2026</v>
      </c>
      <c r="G2" s="119">
        <f>Summary!K3</f>
        <v>2027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x14ac:dyDescent="0.25">
      <c r="A3" s="6" t="s">
        <v>90</v>
      </c>
      <c r="B3" s="120">
        <f>Enrollment!C63/(Staffing!B10+(Staffing!I10/KPIs!$I$4))</f>
        <v>11.953125</v>
      </c>
      <c r="C3" s="120">
        <f>Enrollment!D63/(Staffing!C10+(Staffing!J10/KPIs!$I$4))</f>
        <v>10.102043269230771</v>
      </c>
      <c r="D3" s="120">
        <f>Enrollment!E63/(Staffing!D10+(Staffing!K10/KPIs!$I$4))</f>
        <v>9.3161832932692334</v>
      </c>
      <c r="E3" s="120">
        <f>Enrollment!F63/(Staffing!E10+(Staffing!L10/KPIs!$I$4))</f>
        <v>8.8821968043870196</v>
      </c>
      <c r="F3" s="120">
        <f>Enrollment!G63/(Staffing!F10+(Staffing!M10/KPIs!$I$4))</f>
        <v>8.5854263870229879</v>
      </c>
      <c r="G3" s="120">
        <f>Enrollment!H63/(Staffing!G10+(Staffing!N10/KPIs!$I$4))</f>
        <v>8.3517551777322794</v>
      </c>
      <c r="H3" s="11" t="s">
        <v>151</v>
      </c>
      <c r="I3" s="11"/>
      <c r="J3" s="11"/>
      <c r="K3" s="11"/>
      <c r="L3" s="11"/>
      <c r="M3" s="11"/>
      <c r="N3" s="11"/>
      <c r="O3" s="11"/>
      <c r="P3" s="11"/>
      <c r="Q3" s="11"/>
    </row>
    <row r="4" spans="1:17" x14ac:dyDescent="0.25">
      <c r="A4" s="6" t="s">
        <v>91</v>
      </c>
      <c r="B4" s="120">
        <f>Enrollment!C11/Staffing!B10</f>
        <v>15.7</v>
      </c>
      <c r="C4" s="120">
        <f>Enrollment!D11/Staffing!C10</f>
        <v>14.325757575757576</v>
      </c>
      <c r="D4" s="120">
        <f>Enrollment!E11/Staffing!D10</f>
        <v>13.491715561224492</v>
      </c>
      <c r="E4" s="120">
        <f>Enrollment!F11/Staffing!E10</f>
        <v>12.965617219716497</v>
      </c>
      <c r="F4" s="120">
        <f>Enrollment!G11/Staffing!F10</f>
        <v>12.615540193237306</v>
      </c>
      <c r="G4" s="120">
        <f>Enrollment!H11/Staffing!G10</f>
        <v>12.36654139005068</v>
      </c>
      <c r="H4" s="11"/>
      <c r="I4" s="2">
        <v>5</v>
      </c>
      <c r="J4" s="11"/>
      <c r="K4" s="11"/>
      <c r="L4" s="11"/>
      <c r="M4" s="11"/>
      <c r="N4" s="11"/>
      <c r="O4" s="11"/>
      <c r="P4" s="11"/>
      <c r="Q4" s="11"/>
    </row>
    <row r="5" spans="1:17" x14ac:dyDescent="0.25">
      <c r="A5" s="6" t="s">
        <v>92</v>
      </c>
      <c r="B5" s="120">
        <f>Enrollment!C11/Staffing!B20</f>
        <v>15.7</v>
      </c>
      <c r="C5" s="120">
        <f>Enrollment!D11/Staffing!C20</f>
        <v>14.471938775510203</v>
      </c>
      <c r="D5" s="120">
        <f>Enrollment!E11/Staffing!D20</f>
        <v>13.77279296875</v>
      </c>
      <c r="E5" s="120">
        <f>Enrollment!F11/Staffing!E20</f>
        <v>13.379413513962763</v>
      </c>
      <c r="F5" s="120">
        <f>Enrollment!G11/Staffing!F20</f>
        <v>13.164041940769359</v>
      </c>
      <c r="G5" s="120">
        <f>Enrollment!H11/Staffing!G20</f>
        <v>13.053571467275713</v>
      </c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17" x14ac:dyDescent="0.25">
      <c r="A6" s="6" t="s">
        <v>93</v>
      </c>
      <c r="B6" s="120">
        <f>Staffing!B10/Staffing!B20</f>
        <v>1</v>
      </c>
      <c r="C6" s="120">
        <f>Staffing!C10/Staffing!C20</f>
        <v>1.010204081632653</v>
      </c>
      <c r="D6" s="120">
        <f>Staffing!D10/Staffing!D20</f>
        <v>1.0208333333333333</v>
      </c>
      <c r="E6" s="120">
        <f>Staffing!E10/Staffing!E20</f>
        <v>1.031914893617021</v>
      </c>
      <c r="F6" s="120">
        <f>Staffing!F10/Staffing!F20</f>
        <v>1.043478260869565</v>
      </c>
      <c r="G6" s="120">
        <f>Staffing!G10/Staffing!G20</f>
        <v>1.0555555555555551</v>
      </c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x14ac:dyDescent="0.25">
      <c r="A7" s="6" t="s">
        <v>150</v>
      </c>
      <c r="B7" s="121">
        <f>Summary!F17/((Enrollment!C63+Enrollment!C64)/2)</f>
        <v>19435.280961699747</v>
      </c>
      <c r="C7" s="121">
        <f>Summary!G17/((Enrollment!D63+Enrollment!D64)/2)</f>
        <v>23139.93931855162</v>
      </c>
      <c r="D7" s="121">
        <f>Summary!H17/((Enrollment!E63+Enrollment!E64)/2)</f>
        <v>25548.807637530514</v>
      </c>
      <c r="E7" s="121">
        <f>Summary!I17/((Enrollment!F63+Enrollment!F64)/2)</f>
        <v>27399.925975623657</v>
      </c>
      <c r="F7" s="121">
        <f>Summary!J17/((Enrollment!G63+Enrollment!G64)/2)</f>
        <v>29026.783269319705</v>
      </c>
      <c r="G7" s="121">
        <f>Summary!K17/((Enrollment!H63+Enrollment!H64)/2)</f>
        <v>30571.641145141406</v>
      </c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17" x14ac:dyDescent="0.25">
      <c r="A8" s="6" t="s">
        <v>94</v>
      </c>
      <c r="B8" s="31">
        <f>Summary!F19/Summary!F9</f>
        <v>0.17420556484719477</v>
      </c>
      <c r="C8" s="31">
        <f>Summary!G19/Summary!G9</f>
        <v>6.0711357778258521E-2</v>
      </c>
      <c r="D8" s="31">
        <f>Summary!H19/Summary!H9</f>
        <v>-1.4014006460152816E-2</v>
      </c>
      <c r="E8" s="31">
        <f>Summary!I19/Summary!I9</f>
        <v>-7.6411821527291882E-2</v>
      </c>
      <c r="F8" s="31">
        <f>Summary!J19/Summary!J9</f>
        <v>-0.13886624309328549</v>
      </c>
      <c r="G8" s="31">
        <f>Summary!K19/Summary!K9</f>
        <v>-0.20858134299517367</v>
      </c>
      <c r="H8" s="11"/>
      <c r="I8" s="11"/>
      <c r="J8" s="11"/>
      <c r="K8" s="11"/>
      <c r="L8" s="11"/>
      <c r="M8" s="11"/>
      <c r="N8" s="11"/>
      <c r="O8" s="11"/>
      <c r="P8" s="11"/>
      <c r="Q8" s="11"/>
    </row>
    <row r="9" spans="1:17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spans="1:17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</row>
    <row r="39" spans="1:17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</row>
    <row r="40" spans="1:17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</row>
    <row r="41" spans="1:17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</row>
    <row r="43" spans="1:17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17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</row>
    <row r="46" spans="1:17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</row>
    <row r="48" spans="1:17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1:17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</row>
    <row r="50" spans="1:17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17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</row>
    <row r="52" spans="1:17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</row>
    <row r="53" spans="1:17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</row>
    <row r="54" spans="1:17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</row>
    <row r="56" spans="1:17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</row>
    <row r="58" spans="1:17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</row>
    <row r="59" spans="1:17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Enrollment</vt:lpstr>
      <vt:lpstr>Staffing</vt:lpstr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2021-02-18T21:10:06Z</dcterms:created>
  <dcterms:modified xsi:type="dcterms:W3CDTF">2022-01-23T16:53:59Z</dcterms:modified>
</cp:coreProperties>
</file>