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d\Writing\Modeling Book\Spreadsheets\Final Final Final Final\"/>
    </mc:Choice>
  </mc:AlternateContent>
  <xr:revisionPtr revIDLastSave="0" documentId="13_ncr:1_{AD2C1D89-ABFA-4B15-A383-A35BF306CACD}" xr6:coauthVersionLast="47" xr6:coauthVersionMax="47" xr10:uidLastSave="{00000000-0000-0000-0000-000000000000}"/>
  <bookViews>
    <workbookView xWindow="-120" yWindow="-120" windowWidth="19440" windowHeight="14880" xr2:uid="{B379CA02-A9A6-4AA7-B58B-D86B40358E46}"/>
  </bookViews>
  <sheets>
    <sheet name="Summary" sheetId="1" r:id="rId1"/>
    <sheet name="Enrollment" sheetId="2" r:id="rId2"/>
    <sheet name="StuFlow" sheetId="4" r:id="rId3"/>
    <sheet name="Staffing" sheetId="3" r:id="rId4"/>
    <sheet name="KPI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5" l="1"/>
  <c r="A18" i="4"/>
  <c r="C69" i="2"/>
  <c r="B72" i="2" l="1"/>
  <c r="C176" i="4" l="1"/>
  <c r="B176" i="4"/>
  <c r="C6" i="5"/>
  <c r="D6" i="5"/>
  <c r="E6" i="5"/>
  <c r="F6" i="5"/>
  <c r="G6" i="5"/>
  <c r="B6" i="5"/>
  <c r="G2" i="5"/>
  <c r="F2" i="5"/>
  <c r="E2" i="5"/>
  <c r="D2" i="5"/>
  <c r="C2" i="5"/>
  <c r="B2" i="5"/>
  <c r="A1" i="5"/>
  <c r="F23" i="3" l="1"/>
  <c r="D83" i="3"/>
  <c r="B18" i="4" l="1"/>
  <c r="D18" i="4" l="1"/>
  <c r="D4" i="4"/>
  <c r="D70" i="2"/>
  <c r="E70" i="2" l="1"/>
  <c r="H23" i="3"/>
  <c r="M172" i="4"/>
  <c r="L172" i="4"/>
  <c r="E176" i="4"/>
  <c r="C177" i="4" s="1"/>
  <c r="A175" i="4"/>
  <c r="A171" i="4"/>
  <c r="A157" i="4"/>
  <c r="A143" i="4"/>
  <c r="A129" i="4"/>
  <c r="A115" i="4"/>
  <c r="A101" i="4"/>
  <c r="A87" i="4"/>
  <c r="A73" i="4"/>
  <c r="A59" i="4"/>
  <c r="A45" i="4"/>
  <c r="A31" i="4"/>
  <c r="A1" i="4"/>
  <c r="C18" i="4"/>
  <c r="B19" i="4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F7" i="1"/>
  <c r="F8" i="1"/>
  <c r="B74" i="2"/>
  <c r="D74" i="2" s="1"/>
  <c r="E74" i="2" s="1"/>
  <c r="B30" i="2"/>
  <c r="B73" i="2"/>
  <c r="A74" i="2"/>
  <c r="A73" i="2"/>
  <c r="A76" i="3"/>
  <c r="A77" i="3"/>
  <c r="A78" i="3"/>
  <c r="A79" i="3"/>
  <c r="A75" i="3"/>
  <c r="A83" i="3"/>
  <c r="B74" i="3"/>
  <c r="C74" i="3" s="1"/>
  <c r="D74" i="3" s="1"/>
  <c r="E74" i="3" s="1"/>
  <c r="F74" i="3" s="1"/>
  <c r="G74" i="3" s="1"/>
  <c r="H82" i="3"/>
  <c r="A16" i="3"/>
  <c r="A17" i="3"/>
  <c r="A18" i="3"/>
  <c r="A19" i="3"/>
  <c r="A15" i="3"/>
  <c r="A28" i="3"/>
  <c r="A11" i="3"/>
  <c r="A10" i="3"/>
  <c r="A23" i="3"/>
  <c r="I14" i="3"/>
  <c r="J14" i="3" s="1"/>
  <c r="K14" i="3" s="1"/>
  <c r="L14" i="3" s="1"/>
  <c r="M14" i="3" s="1"/>
  <c r="N14" i="3" s="1"/>
  <c r="B14" i="3"/>
  <c r="C14" i="3" s="1"/>
  <c r="D14" i="3" s="1"/>
  <c r="E14" i="3" s="1"/>
  <c r="F14" i="3" s="1"/>
  <c r="G14" i="3" s="1"/>
  <c r="I9" i="3"/>
  <c r="J9" i="3" s="1"/>
  <c r="K9" i="3" s="1"/>
  <c r="L9" i="3" s="1"/>
  <c r="M9" i="3" s="1"/>
  <c r="N9" i="3" s="1"/>
  <c r="B9" i="3"/>
  <c r="C9" i="3" s="1"/>
  <c r="D9" i="3" s="1"/>
  <c r="E9" i="3" s="1"/>
  <c r="F9" i="3" s="1"/>
  <c r="G9" i="3" s="1"/>
  <c r="D73" i="2" l="1"/>
  <c r="G7" i="1" s="1"/>
  <c r="I18" i="4"/>
  <c r="J18" i="4" s="1"/>
  <c r="K18" i="4" s="1"/>
  <c r="F74" i="2"/>
  <c r="H8" i="1"/>
  <c r="G8" i="1"/>
  <c r="I176" i="4"/>
  <c r="J176" i="4" s="1"/>
  <c r="D176" i="4"/>
  <c r="E18" i="4"/>
  <c r="C19" i="4" s="1"/>
  <c r="A1" i="3"/>
  <c r="A1" i="2"/>
  <c r="I67" i="3"/>
  <c r="J67" i="3" s="1"/>
  <c r="K67" i="3" s="1"/>
  <c r="L67" i="3" s="1"/>
  <c r="M67" i="3" s="1"/>
  <c r="N67" i="3" s="1"/>
  <c r="O59" i="3"/>
  <c r="I59" i="3"/>
  <c r="J59" i="3" s="1"/>
  <c r="K59" i="3" s="1"/>
  <c r="L59" i="3" s="1"/>
  <c r="M59" i="3" s="1"/>
  <c r="N59" i="3" s="1"/>
  <c r="I51" i="3"/>
  <c r="J51" i="3" s="1"/>
  <c r="K51" i="3" s="1"/>
  <c r="L51" i="3" s="1"/>
  <c r="M51" i="3" s="1"/>
  <c r="N51" i="3" s="1"/>
  <c r="O44" i="3"/>
  <c r="O40" i="3"/>
  <c r="H44" i="3"/>
  <c r="I40" i="3"/>
  <c r="I39" i="3"/>
  <c r="J39" i="3" s="1"/>
  <c r="K39" i="3" s="1"/>
  <c r="L39" i="3" s="1"/>
  <c r="M39" i="3" s="1"/>
  <c r="N39" i="3" s="1"/>
  <c r="I48" i="3"/>
  <c r="I47" i="3"/>
  <c r="I46" i="3"/>
  <c r="I45" i="3"/>
  <c r="I44" i="3"/>
  <c r="I43" i="3"/>
  <c r="J43" i="3" s="1"/>
  <c r="K43" i="3" s="1"/>
  <c r="L43" i="3" s="1"/>
  <c r="M43" i="3" s="1"/>
  <c r="N43" i="3" s="1"/>
  <c r="H40" i="3"/>
  <c r="O27" i="3"/>
  <c r="I32" i="3"/>
  <c r="I31" i="3"/>
  <c r="I30" i="3"/>
  <c r="I29" i="3"/>
  <c r="I28" i="3"/>
  <c r="I27" i="3"/>
  <c r="J27" i="3" s="1"/>
  <c r="K27" i="3" s="1"/>
  <c r="L27" i="3" s="1"/>
  <c r="M27" i="3" s="1"/>
  <c r="N27" i="3" s="1"/>
  <c r="O23" i="3"/>
  <c r="I22" i="3"/>
  <c r="J22" i="3" s="1"/>
  <c r="K22" i="3" s="1"/>
  <c r="L22" i="3" s="1"/>
  <c r="M22" i="3" s="1"/>
  <c r="N22" i="3" s="1"/>
  <c r="B22" i="3"/>
  <c r="C22" i="3" s="1"/>
  <c r="D22" i="3" s="1"/>
  <c r="E22" i="3" s="1"/>
  <c r="F22" i="3" s="1"/>
  <c r="G22" i="3" s="1"/>
  <c r="I24" i="3"/>
  <c r="J24" i="3" s="1"/>
  <c r="K24" i="3" s="1"/>
  <c r="L24" i="3" s="1"/>
  <c r="M24" i="3" s="1"/>
  <c r="N24" i="3" s="1"/>
  <c r="I23" i="3"/>
  <c r="N3" i="3"/>
  <c r="N6" i="3" s="1"/>
  <c r="I64" i="3" s="1"/>
  <c r="K3" i="3"/>
  <c r="I60" i="3" s="1"/>
  <c r="J4" i="3"/>
  <c r="I41" i="3" s="1"/>
  <c r="C4" i="3"/>
  <c r="B41" i="3" s="1"/>
  <c r="B24" i="3"/>
  <c r="C24" i="3" s="1"/>
  <c r="D24" i="3" s="1"/>
  <c r="E24" i="3" s="1"/>
  <c r="F24" i="3" s="1"/>
  <c r="G24" i="3" s="1"/>
  <c r="C51" i="2"/>
  <c r="C52" i="2" s="1"/>
  <c r="B51" i="2"/>
  <c r="B53" i="2" s="1"/>
  <c r="C48" i="2"/>
  <c r="C46" i="2"/>
  <c r="B45" i="2"/>
  <c r="B47" i="2" s="1"/>
  <c r="D1" i="2"/>
  <c r="D7" i="2" s="1"/>
  <c r="C34" i="2"/>
  <c r="C32" i="2"/>
  <c r="B31" i="2"/>
  <c r="B33" i="2" s="1"/>
  <c r="C20" i="2"/>
  <c r="C16" i="2"/>
  <c r="C4" i="2"/>
  <c r="B32" i="4" s="1"/>
  <c r="B27" i="3"/>
  <c r="C27" i="3" s="1"/>
  <c r="D27" i="3" s="1"/>
  <c r="E27" i="3" s="1"/>
  <c r="F27" i="3" s="1"/>
  <c r="G27" i="3" s="1"/>
  <c r="B23" i="3"/>
  <c r="H59" i="3"/>
  <c r="B59" i="3"/>
  <c r="C59" i="3" s="1"/>
  <c r="D59" i="3" s="1"/>
  <c r="E59" i="3" s="1"/>
  <c r="F59" i="3" s="1"/>
  <c r="G59" i="3" s="1"/>
  <c r="B51" i="3"/>
  <c r="C51" i="3" s="1"/>
  <c r="D51" i="3" s="1"/>
  <c r="E51" i="3" s="1"/>
  <c r="F51" i="3" s="1"/>
  <c r="G51" i="3" s="1"/>
  <c r="A63" i="3"/>
  <c r="A64" i="3"/>
  <c r="A65" i="3"/>
  <c r="A62" i="3"/>
  <c r="A53" i="3"/>
  <c r="B89" i="3"/>
  <c r="C89" i="3" s="1"/>
  <c r="D89" i="3" s="1"/>
  <c r="E89" i="3" s="1"/>
  <c r="F89" i="3" s="1"/>
  <c r="G89" i="3" s="1"/>
  <c r="B82" i="3"/>
  <c r="C82" i="3" s="1"/>
  <c r="D82" i="3" s="1"/>
  <c r="E82" i="3" s="1"/>
  <c r="F82" i="3" s="1"/>
  <c r="G82" i="3" s="1"/>
  <c r="B67" i="3"/>
  <c r="C67" i="3" s="1"/>
  <c r="D67" i="3" s="1"/>
  <c r="E67" i="3" s="1"/>
  <c r="F67" i="3" s="1"/>
  <c r="G67" i="3" s="1"/>
  <c r="B43" i="3"/>
  <c r="C43" i="3" s="1"/>
  <c r="D43" i="3" s="1"/>
  <c r="E43" i="3" s="1"/>
  <c r="F43" i="3" s="1"/>
  <c r="G43" i="3" s="1"/>
  <c r="B39" i="3"/>
  <c r="C39" i="3" s="1"/>
  <c r="D39" i="3" s="1"/>
  <c r="E39" i="3" s="1"/>
  <c r="F39" i="3" s="1"/>
  <c r="G39" i="3" s="1"/>
  <c r="F11" i="1"/>
  <c r="G11" i="1" s="1"/>
  <c r="H11" i="1" s="1"/>
  <c r="I11" i="1" s="1"/>
  <c r="J11" i="1" s="1"/>
  <c r="K11" i="1" s="1"/>
  <c r="A91" i="3"/>
  <c r="A92" i="3"/>
  <c r="A93" i="3"/>
  <c r="A94" i="3"/>
  <c r="A95" i="3"/>
  <c r="A90" i="3"/>
  <c r="B84" i="3"/>
  <c r="C84" i="3" s="1"/>
  <c r="D84" i="3" s="1"/>
  <c r="E84" i="3" s="1"/>
  <c r="F84" i="3" s="1"/>
  <c r="G84" i="3" s="1"/>
  <c r="B85" i="3"/>
  <c r="C85" i="3" s="1"/>
  <c r="D85" i="3" s="1"/>
  <c r="E85" i="3" s="1"/>
  <c r="F85" i="3" s="1"/>
  <c r="G85" i="3" s="1"/>
  <c r="B86" i="3"/>
  <c r="B87" i="3"/>
  <c r="B83" i="3"/>
  <c r="B45" i="3"/>
  <c r="B46" i="3"/>
  <c r="B47" i="3"/>
  <c r="B48" i="3"/>
  <c r="B44" i="3"/>
  <c r="P3" i="3"/>
  <c r="H27" i="3"/>
  <c r="B40" i="3"/>
  <c r="A45" i="3"/>
  <c r="A46" i="3"/>
  <c r="A47" i="3"/>
  <c r="A48" i="3"/>
  <c r="A44" i="3"/>
  <c r="A40" i="3"/>
  <c r="A41" i="3"/>
  <c r="A54" i="3"/>
  <c r="A55" i="3"/>
  <c r="A56" i="3"/>
  <c r="A69" i="3"/>
  <c r="A70" i="3"/>
  <c r="A71" i="3"/>
  <c r="A72" i="3"/>
  <c r="A84" i="3"/>
  <c r="A85" i="3"/>
  <c r="A86" i="3"/>
  <c r="A87" i="3"/>
  <c r="A68" i="3"/>
  <c r="A52" i="3"/>
  <c r="A29" i="3"/>
  <c r="A30" i="3"/>
  <c r="A31" i="3"/>
  <c r="A32" i="3"/>
  <c r="A24" i="3"/>
  <c r="B29" i="3"/>
  <c r="B30" i="3"/>
  <c r="B31" i="3"/>
  <c r="B32" i="3"/>
  <c r="B28" i="3"/>
  <c r="G3" i="3"/>
  <c r="G6" i="3" s="1"/>
  <c r="B64" i="3" s="1"/>
  <c r="D3" i="3"/>
  <c r="B60" i="3" s="1"/>
  <c r="F3" i="1"/>
  <c r="C2" i="2" l="1"/>
  <c r="C36" i="2"/>
  <c r="C55" i="2"/>
  <c r="E73" i="2"/>
  <c r="F73" i="2" s="1"/>
  <c r="F176" i="4"/>
  <c r="G177" i="4" s="1"/>
  <c r="B177" i="4"/>
  <c r="D32" i="4"/>
  <c r="C83" i="3"/>
  <c r="E83" i="3" s="1"/>
  <c r="F83" i="3" s="1"/>
  <c r="G83" i="3" s="1"/>
  <c r="C87" i="3"/>
  <c r="D87" i="3" s="1"/>
  <c r="E87" i="3" s="1"/>
  <c r="F87" i="3" s="1"/>
  <c r="G87" i="3" s="1"/>
  <c r="C86" i="3"/>
  <c r="D86" i="3" s="1"/>
  <c r="E86" i="3" s="1"/>
  <c r="F86" i="3" s="1"/>
  <c r="G86" i="3" s="1"/>
  <c r="B35" i="3"/>
  <c r="B36" i="3"/>
  <c r="B52" i="3"/>
  <c r="E7" i="2"/>
  <c r="C46" i="4"/>
  <c r="E46" i="4" s="1"/>
  <c r="G74" i="2"/>
  <c r="I8" i="1"/>
  <c r="F18" i="4"/>
  <c r="I54" i="3"/>
  <c r="C23" i="3"/>
  <c r="I56" i="3"/>
  <c r="I71" i="3"/>
  <c r="I55" i="3"/>
  <c r="J23" i="3"/>
  <c r="K23" i="3" s="1"/>
  <c r="L23" i="3" s="1"/>
  <c r="M23" i="3" s="1"/>
  <c r="N23" i="3" s="1"/>
  <c r="J64" i="3"/>
  <c r="J60" i="3"/>
  <c r="I53" i="3"/>
  <c r="B53" i="3"/>
  <c r="J41" i="3"/>
  <c r="J40" i="3"/>
  <c r="K40" i="3" s="1"/>
  <c r="L40" i="3" s="1"/>
  <c r="M40" i="3" s="1"/>
  <c r="N40" i="3" s="1"/>
  <c r="I61" i="3"/>
  <c r="J61" i="3" s="1"/>
  <c r="K61" i="3" s="1"/>
  <c r="L61" i="3" s="1"/>
  <c r="M61" i="3" s="1"/>
  <c r="N61" i="3" s="1"/>
  <c r="J44" i="3"/>
  <c r="K44" i="3" s="1"/>
  <c r="L44" i="3" s="1"/>
  <c r="M44" i="3" s="1"/>
  <c r="N44" i="3" s="1"/>
  <c r="I52" i="3"/>
  <c r="J46" i="3"/>
  <c r="K46" i="3" s="1"/>
  <c r="L46" i="3" s="1"/>
  <c r="M46" i="3" s="1"/>
  <c r="N46" i="3" s="1"/>
  <c r="J48" i="3"/>
  <c r="K48" i="3" s="1"/>
  <c r="L48" i="3" s="1"/>
  <c r="M48" i="3" s="1"/>
  <c r="N48" i="3" s="1"/>
  <c r="J47" i="3"/>
  <c r="K47" i="3" s="1"/>
  <c r="L47" i="3" s="1"/>
  <c r="M47" i="3" s="1"/>
  <c r="N47" i="3" s="1"/>
  <c r="J45" i="3"/>
  <c r="K45" i="3" s="1"/>
  <c r="L45" i="3" s="1"/>
  <c r="M45" i="3" s="1"/>
  <c r="N45" i="3" s="1"/>
  <c r="C41" i="3"/>
  <c r="D41" i="3" s="1"/>
  <c r="E41" i="3" s="1"/>
  <c r="F41" i="3" s="1"/>
  <c r="G41" i="3" s="1"/>
  <c r="I33" i="3"/>
  <c r="J28" i="3" s="1"/>
  <c r="N7" i="3"/>
  <c r="I65" i="3" s="1"/>
  <c r="N5" i="3"/>
  <c r="I63" i="3" s="1"/>
  <c r="B71" i="3"/>
  <c r="N4" i="3"/>
  <c r="I62" i="3" s="1"/>
  <c r="B55" i="3"/>
  <c r="D45" i="2"/>
  <c r="D46" i="2" s="1"/>
  <c r="E45" i="2" s="1"/>
  <c r="E46" i="2" s="1"/>
  <c r="F45" i="2" s="1"/>
  <c r="F46" i="2" s="1"/>
  <c r="G45" i="2" s="1"/>
  <c r="G46" i="2" s="1"/>
  <c r="H45" i="2" s="1"/>
  <c r="H46" i="2" s="1"/>
  <c r="D31" i="2"/>
  <c r="D32" i="2" s="1"/>
  <c r="E31" i="2" s="1"/>
  <c r="D51" i="2"/>
  <c r="D47" i="2"/>
  <c r="D48" i="2" s="1"/>
  <c r="E47" i="2" s="1"/>
  <c r="E48" i="2" s="1"/>
  <c r="F47" i="2" s="1"/>
  <c r="F48" i="2" s="1"/>
  <c r="G47" i="2" s="1"/>
  <c r="G48" i="2" s="1"/>
  <c r="H47" i="2" s="1"/>
  <c r="H48" i="2" s="1"/>
  <c r="C53" i="2"/>
  <c r="B61" i="3"/>
  <c r="C61" i="3" s="1"/>
  <c r="D61" i="3" s="1"/>
  <c r="E61" i="3" s="1"/>
  <c r="F61" i="3" s="1"/>
  <c r="G61" i="3" s="1"/>
  <c r="D3" i="2"/>
  <c r="D33" i="2"/>
  <c r="D34" i="2" s="1"/>
  <c r="C17" i="2"/>
  <c r="B7" i="2"/>
  <c r="C8" i="2"/>
  <c r="C32" i="4" s="1"/>
  <c r="E32" i="4" s="1"/>
  <c r="C64" i="3"/>
  <c r="C60" i="3"/>
  <c r="B56" i="3"/>
  <c r="B54" i="3"/>
  <c r="C40" i="3"/>
  <c r="D40" i="3" s="1"/>
  <c r="E40" i="3" s="1"/>
  <c r="F40" i="3" s="1"/>
  <c r="G40" i="3" s="1"/>
  <c r="C46" i="3"/>
  <c r="D46" i="3" s="1"/>
  <c r="E46" i="3" s="1"/>
  <c r="F46" i="3" s="1"/>
  <c r="G46" i="3" s="1"/>
  <c r="C45" i="3"/>
  <c r="D45" i="3" s="1"/>
  <c r="E45" i="3" s="1"/>
  <c r="F45" i="3" s="1"/>
  <c r="G45" i="3" s="1"/>
  <c r="C44" i="3"/>
  <c r="D44" i="3" s="1"/>
  <c r="E44" i="3" s="1"/>
  <c r="F44" i="3" s="1"/>
  <c r="G44" i="3" s="1"/>
  <c r="C48" i="3"/>
  <c r="D48" i="3" s="1"/>
  <c r="E48" i="3" s="1"/>
  <c r="F48" i="3" s="1"/>
  <c r="G48" i="3" s="1"/>
  <c r="C47" i="3"/>
  <c r="D47" i="3" s="1"/>
  <c r="E47" i="3" s="1"/>
  <c r="F47" i="3" s="1"/>
  <c r="G47" i="3" s="1"/>
  <c r="B33" i="3"/>
  <c r="C28" i="3" s="1"/>
  <c r="G7" i="3"/>
  <c r="B65" i="3" s="1"/>
  <c r="B72" i="3" s="1"/>
  <c r="G4" i="3"/>
  <c r="B62" i="3" s="1"/>
  <c r="B69" i="3" s="1"/>
  <c r="G5" i="3"/>
  <c r="B63" i="3" s="1"/>
  <c r="B70" i="3" s="1"/>
  <c r="G3" i="1"/>
  <c r="D69" i="2" s="1"/>
  <c r="A19" i="4" l="1"/>
  <c r="A32" i="4" s="1"/>
  <c r="D55" i="2"/>
  <c r="D2" i="2"/>
  <c r="H7" i="1"/>
  <c r="B33" i="4"/>
  <c r="C33" i="4"/>
  <c r="H177" i="4"/>
  <c r="O32" i="4"/>
  <c r="H19" i="4"/>
  <c r="G19" i="4"/>
  <c r="F32" i="4"/>
  <c r="I32" i="4"/>
  <c r="J32" i="4" s="1"/>
  <c r="K32" i="4" s="1"/>
  <c r="D23" i="3"/>
  <c r="C36" i="3"/>
  <c r="C35" i="3"/>
  <c r="E3" i="2"/>
  <c r="B46" i="4"/>
  <c r="H74" i="2"/>
  <c r="K8" i="1" s="1"/>
  <c r="J8" i="1"/>
  <c r="G73" i="2"/>
  <c r="I7" i="1"/>
  <c r="F7" i="2"/>
  <c r="C74" i="4"/>
  <c r="E74" i="4" s="1"/>
  <c r="E177" i="4"/>
  <c r="I177" i="4"/>
  <c r="J177" i="4" s="1"/>
  <c r="D177" i="4"/>
  <c r="B178" i="4" s="1"/>
  <c r="E19" i="4"/>
  <c r="C29" i="3"/>
  <c r="C53" i="3" s="1"/>
  <c r="C30" i="3"/>
  <c r="C31" i="3"/>
  <c r="C71" i="3" s="1"/>
  <c r="C32" i="3"/>
  <c r="J29" i="3"/>
  <c r="J32" i="3"/>
  <c r="J31" i="3"/>
  <c r="J55" i="3" s="1"/>
  <c r="J30" i="3"/>
  <c r="I68" i="3"/>
  <c r="B93" i="3"/>
  <c r="F15" i="1" s="1"/>
  <c r="J63" i="3"/>
  <c r="I70" i="3"/>
  <c r="B92" i="3" s="1"/>
  <c r="F14" i="1" s="1"/>
  <c r="J62" i="3"/>
  <c r="I69" i="3"/>
  <c r="B91" i="3" s="1"/>
  <c r="F13" i="1" s="1"/>
  <c r="J65" i="3"/>
  <c r="I72" i="3"/>
  <c r="B94" i="3" s="1"/>
  <c r="F16" i="1" s="1"/>
  <c r="K60" i="3"/>
  <c r="K64" i="3"/>
  <c r="K41" i="3"/>
  <c r="J52" i="3"/>
  <c r="D52" i="2"/>
  <c r="C54" i="2"/>
  <c r="C65" i="3"/>
  <c r="D16" i="2"/>
  <c r="C62" i="3"/>
  <c r="B68" i="3"/>
  <c r="C63" i="3"/>
  <c r="D63" i="3" s="1"/>
  <c r="D4" i="2"/>
  <c r="E33" i="2"/>
  <c r="E34" i="2" s="1"/>
  <c r="E32" i="2"/>
  <c r="D20" i="2"/>
  <c r="C21" i="2"/>
  <c r="D8" i="2"/>
  <c r="C60" i="4" s="1"/>
  <c r="E60" i="4" s="1"/>
  <c r="D60" i="3"/>
  <c r="D64" i="3"/>
  <c r="C68" i="3"/>
  <c r="H3" i="1"/>
  <c r="E69" i="2" s="1"/>
  <c r="A21" i="4" l="1"/>
  <c r="A20" i="4"/>
  <c r="E55" i="2"/>
  <c r="E2" i="2"/>
  <c r="C178" i="4"/>
  <c r="G33" i="4"/>
  <c r="H33" i="4"/>
  <c r="C47" i="4"/>
  <c r="C20" i="4"/>
  <c r="E23" i="3"/>
  <c r="D36" i="3"/>
  <c r="D35" i="3"/>
  <c r="F3" i="2"/>
  <c r="B74" i="4"/>
  <c r="E16" i="2"/>
  <c r="N114" i="4"/>
  <c r="N58" i="4"/>
  <c r="N142" i="4"/>
  <c r="N44" i="4"/>
  <c r="N72" i="4"/>
  <c r="N30" i="4"/>
  <c r="N100" i="4"/>
  <c r="N16" i="4"/>
  <c r="N170" i="4"/>
  <c r="N128" i="4"/>
  <c r="N86" i="4"/>
  <c r="N156" i="4"/>
  <c r="D17" i="2"/>
  <c r="B60" i="4"/>
  <c r="E4" i="2"/>
  <c r="G7" i="2"/>
  <c r="C102" i="4"/>
  <c r="E102" i="4" s="1"/>
  <c r="H73" i="2"/>
  <c r="K7" i="1" s="1"/>
  <c r="J7" i="1"/>
  <c r="D36" i="2"/>
  <c r="D46" i="4"/>
  <c r="F46" i="4" s="1"/>
  <c r="I46" i="4"/>
  <c r="J46" i="4" s="1"/>
  <c r="K46" i="4" s="1"/>
  <c r="N32" i="4"/>
  <c r="F177" i="4"/>
  <c r="D33" i="4"/>
  <c r="J54" i="3"/>
  <c r="J53" i="3"/>
  <c r="J56" i="3"/>
  <c r="B90" i="3"/>
  <c r="F12" i="1" s="1"/>
  <c r="J68" i="3"/>
  <c r="J71" i="3"/>
  <c r="K63" i="3"/>
  <c r="J70" i="3"/>
  <c r="L60" i="3"/>
  <c r="J72" i="3"/>
  <c r="K65" i="3"/>
  <c r="L64" i="3"/>
  <c r="K62" i="3"/>
  <c r="J69" i="3"/>
  <c r="L41" i="3"/>
  <c r="C52" i="3"/>
  <c r="J33" i="3"/>
  <c r="K28" i="3" s="1"/>
  <c r="C72" i="3"/>
  <c r="C69" i="3"/>
  <c r="D53" i="2"/>
  <c r="E51" i="2"/>
  <c r="C70" i="3"/>
  <c r="D62" i="3"/>
  <c r="E62" i="3" s="1"/>
  <c r="D65" i="3"/>
  <c r="E65" i="3" s="1"/>
  <c r="F33" i="2"/>
  <c r="F34" i="2" s="1"/>
  <c r="F31" i="2"/>
  <c r="F32" i="2" s="1"/>
  <c r="E20" i="2"/>
  <c r="D21" i="2"/>
  <c r="F20" i="2"/>
  <c r="E8" i="2"/>
  <c r="E63" i="3"/>
  <c r="E64" i="3"/>
  <c r="E60" i="3"/>
  <c r="C56" i="3"/>
  <c r="C54" i="3"/>
  <c r="C55" i="3"/>
  <c r="C33" i="3"/>
  <c r="I3" i="1"/>
  <c r="F69" i="2" s="1"/>
  <c r="A23" i="4" l="1"/>
  <c r="A22" i="4"/>
  <c r="F55" i="2"/>
  <c r="F2" i="2"/>
  <c r="F4" i="2"/>
  <c r="F17" i="2" s="1"/>
  <c r="B34" i="4"/>
  <c r="B47" i="4"/>
  <c r="G47" i="4"/>
  <c r="H47" i="4"/>
  <c r="C75" i="4"/>
  <c r="C61" i="4"/>
  <c r="E178" i="4"/>
  <c r="H178" i="4"/>
  <c r="G178" i="4"/>
  <c r="E36" i="3"/>
  <c r="E35" i="3"/>
  <c r="E33" i="4"/>
  <c r="A34" i="4"/>
  <c r="A47" i="4"/>
  <c r="A60" i="4"/>
  <c r="D19" i="4"/>
  <c r="F19" i="4" s="1"/>
  <c r="H7" i="2"/>
  <c r="C158" i="4" s="1"/>
  <c r="E158" i="4" s="1"/>
  <c r="C130" i="4"/>
  <c r="E130" i="4" s="1"/>
  <c r="E36" i="2"/>
  <c r="E17" i="2"/>
  <c r="B88" i="4"/>
  <c r="B116" i="4"/>
  <c r="D60" i="4"/>
  <c r="F60" i="4" s="1"/>
  <c r="I60" i="4"/>
  <c r="J60" i="4" s="1"/>
  <c r="K60" i="4" s="1"/>
  <c r="A33" i="4"/>
  <c r="A46" i="4"/>
  <c r="I74" i="4"/>
  <c r="J74" i="4" s="1"/>
  <c r="K74" i="4" s="1"/>
  <c r="D74" i="4"/>
  <c r="F74" i="4" s="1"/>
  <c r="C88" i="4"/>
  <c r="E88" i="4" s="1"/>
  <c r="C116" i="4"/>
  <c r="E116" i="4" s="1"/>
  <c r="G3" i="2"/>
  <c r="B102" i="4"/>
  <c r="F16" i="2"/>
  <c r="I19" i="4"/>
  <c r="J19" i="4" s="1"/>
  <c r="K19" i="4" s="1"/>
  <c r="I33" i="4"/>
  <c r="J33" i="4" s="1"/>
  <c r="K33" i="4" s="1"/>
  <c r="K31" i="3"/>
  <c r="K29" i="3"/>
  <c r="K53" i="3" s="1"/>
  <c r="D28" i="3"/>
  <c r="D52" i="3" s="1"/>
  <c r="D29" i="3"/>
  <c r="D53" i="3" s="1"/>
  <c r="D32" i="3"/>
  <c r="D56" i="3" s="1"/>
  <c r="D31" i="3"/>
  <c r="D30" i="3"/>
  <c r="K32" i="3"/>
  <c r="K56" i="3" s="1"/>
  <c r="K30" i="3"/>
  <c r="K54" i="3" s="1"/>
  <c r="C90" i="3"/>
  <c r="G12" i="1" s="1"/>
  <c r="C93" i="3"/>
  <c r="B95" i="3"/>
  <c r="F17" i="1" s="1"/>
  <c r="C91" i="3"/>
  <c r="G13" i="1" s="1"/>
  <c r="C94" i="3"/>
  <c r="G16" i="1" s="1"/>
  <c r="L62" i="3"/>
  <c r="M64" i="3"/>
  <c r="L65" i="3"/>
  <c r="M60" i="3"/>
  <c r="C92" i="3"/>
  <c r="G14" i="1" s="1"/>
  <c r="L63" i="3"/>
  <c r="M41" i="3"/>
  <c r="E52" i="2"/>
  <c r="D54" i="2"/>
  <c r="G33" i="2"/>
  <c r="G34" i="2" s="1"/>
  <c r="G31" i="2"/>
  <c r="G32" i="2" s="1"/>
  <c r="E21" i="2"/>
  <c r="F8" i="2"/>
  <c r="F64" i="3"/>
  <c r="F63" i="3"/>
  <c r="F65" i="3"/>
  <c r="F62" i="3"/>
  <c r="F60" i="3"/>
  <c r="J3" i="1"/>
  <c r="A25" i="4" l="1"/>
  <c r="A24" i="4"/>
  <c r="G4" i="2"/>
  <c r="C179" i="4"/>
  <c r="H75" i="4"/>
  <c r="G75" i="4"/>
  <c r="B61" i="4"/>
  <c r="C89" i="4"/>
  <c r="H61" i="4"/>
  <c r="G61" i="4"/>
  <c r="B75" i="4"/>
  <c r="C103" i="4"/>
  <c r="C117" i="4"/>
  <c r="F33" i="4"/>
  <c r="G34" i="4" s="1"/>
  <c r="C34" i="4"/>
  <c r="O46" i="4"/>
  <c r="G20" i="4"/>
  <c r="H20" i="4"/>
  <c r="B20" i="4"/>
  <c r="N46" i="4" s="1"/>
  <c r="K3" i="1"/>
  <c r="H69" i="2" s="1"/>
  <c r="G69" i="2"/>
  <c r="G23" i="3"/>
  <c r="F35" i="3"/>
  <c r="F36" i="3"/>
  <c r="D72" i="3"/>
  <c r="F36" i="2"/>
  <c r="G17" i="2"/>
  <c r="B144" i="4"/>
  <c r="A48" i="4"/>
  <c r="A74" i="4"/>
  <c r="A61" i="4"/>
  <c r="A35" i="4"/>
  <c r="E47" i="4"/>
  <c r="C48" i="4" s="1"/>
  <c r="D47" i="4"/>
  <c r="B48" i="4" s="1"/>
  <c r="I47" i="4"/>
  <c r="J47" i="4" s="1"/>
  <c r="K47" i="4" s="1"/>
  <c r="D88" i="4"/>
  <c r="F88" i="4" s="1"/>
  <c r="I88" i="4"/>
  <c r="J88" i="4" s="1"/>
  <c r="K88" i="4" s="1"/>
  <c r="D102" i="4"/>
  <c r="F102" i="4" s="1"/>
  <c r="I102" i="4"/>
  <c r="J102" i="4" s="1"/>
  <c r="K102" i="4" s="1"/>
  <c r="A88" i="4"/>
  <c r="A36" i="4"/>
  <c r="A75" i="4"/>
  <c r="A49" i="4"/>
  <c r="A62" i="4"/>
  <c r="H3" i="2"/>
  <c r="B130" i="4"/>
  <c r="G16" i="2"/>
  <c r="I116" i="4"/>
  <c r="J116" i="4" s="1"/>
  <c r="K116" i="4" s="1"/>
  <c r="D116" i="4"/>
  <c r="F116" i="4" s="1"/>
  <c r="I178" i="4"/>
  <c r="J178" i="4" s="1"/>
  <c r="D178" i="4"/>
  <c r="K72" i="3"/>
  <c r="K70" i="3"/>
  <c r="M63" i="3"/>
  <c r="N60" i="3"/>
  <c r="K55" i="3"/>
  <c r="K71" i="3"/>
  <c r="K52" i="3"/>
  <c r="K68" i="3"/>
  <c r="M65" i="3"/>
  <c r="K69" i="3"/>
  <c r="M62" i="3"/>
  <c r="N64" i="3"/>
  <c r="N41" i="3"/>
  <c r="K33" i="3"/>
  <c r="E53" i="2"/>
  <c r="F51" i="2"/>
  <c r="D69" i="3"/>
  <c r="D68" i="3"/>
  <c r="D55" i="3"/>
  <c r="D71" i="3"/>
  <c r="D54" i="3"/>
  <c r="D70" i="3"/>
  <c r="H33" i="2"/>
  <c r="H34" i="2" s="1"/>
  <c r="H31" i="2"/>
  <c r="H32" i="2" s="1"/>
  <c r="G20" i="2"/>
  <c r="F21" i="2"/>
  <c r="G8" i="2"/>
  <c r="C144" i="4" s="1"/>
  <c r="E144" i="4" s="1"/>
  <c r="G60" i="3"/>
  <c r="G62" i="3"/>
  <c r="G65" i="3"/>
  <c r="G63" i="3"/>
  <c r="G64" i="3"/>
  <c r="C95" i="3"/>
  <c r="G17" i="1" s="1"/>
  <c r="G15" i="1"/>
  <c r="D33" i="3"/>
  <c r="G55" i="2" l="1"/>
  <c r="G2" i="2"/>
  <c r="H55" i="2"/>
  <c r="H2" i="2"/>
  <c r="H4" i="2"/>
  <c r="B103" i="4"/>
  <c r="H34" i="4"/>
  <c r="B117" i="4"/>
  <c r="C145" i="4"/>
  <c r="B89" i="4"/>
  <c r="H103" i="4"/>
  <c r="G103" i="4"/>
  <c r="H89" i="4"/>
  <c r="G89" i="4"/>
  <c r="H117" i="4"/>
  <c r="G117" i="4"/>
  <c r="C131" i="4"/>
  <c r="E34" i="4"/>
  <c r="F178" i="4"/>
  <c r="H179" i="4" s="1"/>
  <c r="B179" i="4"/>
  <c r="E20" i="4"/>
  <c r="C21" i="4" s="1"/>
  <c r="I20" i="4"/>
  <c r="J20" i="4" s="1"/>
  <c r="K20" i="4" s="1"/>
  <c r="D20" i="4"/>
  <c r="G35" i="3"/>
  <c r="G36" i="3"/>
  <c r="D94" i="3"/>
  <c r="H16" i="1" s="1"/>
  <c r="A102" i="4"/>
  <c r="A89" i="4"/>
  <c r="A63" i="4"/>
  <c r="A76" i="4"/>
  <c r="A37" i="4"/>
  <c r="A50" i="4"/>
  <c r="H17" i="2"/>
  <c r="B172" i="4"/>
  <c r="I75" i="4"/>
  <c r="J75" i="4" s="1"/>
  <c r="K75" i="4" s="1"/>
  <c r="D75" i="4"/>
  <c r="B76" i="4" s="1"/>
  <c r="F47" i="4"/>
  <c r="E75" i="4"/>
  <c r="C76" i="4" s="1"/>
  <c r="A103" i="4"/>
  <c r="A90" i="4"/>
  <c r="A64" i="4"/>
  <c r="A77" i="4"/>
  <c r="A51" i="4"/>
  <c r="A116" i="4"/>
  <c r="A38" i="4"/>
  <c r="D130" i="4"/>
  <c r="F130" i="4" s="1"/>
  <c r="I130" i="4"/>
  <c r="J130" i="4" s="1"/>
  <c r="K130" i="4" s="1"/>
  <c r="B158" i="4"/>
  <c r="H16" i="2"/>
  <c r="I61" i="4"/>
  <c r="J61" i="4" s="1"/>
  <c r="K61" i="4" s="1"/>
  <c r="D61" i="4"/>
  <c r="B62" i="4" s="1"/>
  <c r="E61" i="4"/>
  <c r="C62" i="4" s="1"/>
  <c r="E89" i="4"/>
  <c r="D144" i="4"/>
  <c r="F144" i="4" s="1"/>
  <c r="I144" i="4"/>
  <c r="J144" i="4" s="1"/>
  <c r="K144" i="4" s="1"/>
  <c r="D34" i="4"/>
  <c r="I34" i="4"/>
  <c r="J34" i="4" s="1"/>
  <c r="K34" i="4" s="1"/>
  <c r="L28" i="3"/>
  <c r="L31" i="3"/>
  <c r="L32" i="3"/>
  <c r="L29" i="3"/>
  <c r="L30" i="3"/>
  <c r="E32" i="3"/>
  <c r="E72" i="3" s="1"/>
  <c r="E28" i="3"/>
  <c r="E29" i="3"/>
  <c r="E31" i="3"/>
  <c r="E30" i="3"/>
  <c r="D90" i="3"/>
  <c r="H12" i="1" s="1"/>
  <c r="N62" i="3"/>
  <c r="N65" i="3"/>
  <c r="D92" i="3"/>
  <c r="H14" i="1" s="1"/>
  <c r="D91" i="3"/>
  <c r="H13" i="1" s="1"/>
  <c r="N63" i="3"/>
  <c r="D93" i="3"/>
  <c r="H15" i="1" s="1"/>
  <c r="F52" i="2"/>
  <c r="E54" i="2"/>
  <c r="G21" i="2"/>
  <c r="H20" i="2"/>
  <c r="H8" i="2"/>
  <c r="A28" i="4" l="1"/>
  <c r="A29" i="4"/>
  <c r="G36" i="2"/>
  <c r="A27" i="4"/>
  <c r="A66" i="4" s="1"/>
  <c r="A26" i="4"/>
  <c r="A117" i="4" s="1"/>
  <c r="C35" i="4"/>
  <c r="E35" i="4" s="1"/>
  <c r="B131" i="4"/>
  <c r="H145" i="4"/>
  <c r="G145" i="4"/>
  <c r="G131" i="4"/>
  <c r="H131" i="4"/>
  <c r="C90" i="4"/>
  <c r="B145" i="4"/>
  <c r="C159" i="4"/>
  <c r="F34" i="4"/>
  <c r="G35" i="4" s="1"/>
  <c r="B35" i="4"/>
  <c r="G179" i="4"/>
  <c r="H48" i="4"/>
  <c r="G48" i="4"/>
  <c r="F20" i="4"/>
  <c r="G21" i="4" s="1"/>
  <c r="A55" i="4"/>
  <c r="A67" i="4"/>
  <c r="H36" i="2"/>
  <c r="D172" i="4"/>
  <c r="D89" i="4"/>
  <c r="I89" i="4"/>
  <c r="J89" i="4" s="1"/>
  <c r="K89" i="4" s="1"/>
  <c r="I158" i="4"/>
  <c r="J158" i="4" s="1"/>
  <c r="K158" i="4" s="1"/>
  <c r="D158" i="4"/>
  <c r="F158" i="4" s="1"/>
  <c r="F75" i="4"/>
  <c r="D103" i="4"/>
  <c r="B104" i="4" s="1"/>
  <c r="I103" i="4"/>
  <c r="J103" i="4" s="1"/>
  <c r="K103" i="4" s="1"/>
  <c r="H21" i="2"/>
  <c r="C172" i="4"/>
  <c r="A79" i="4"/>
  <c r="A118" i="4"/>
  <c r="A53" i="4"/>
  <c r="D117" i="4"/>
  <c r="B118" i="4" s="1"/>
  <c r="I117" i="4"/>
  <c r="J117" i="4" s="1"/>
  <c r="K117" i="4" s="1"/>
  <c r="E117" i="4"/>
  <c r="C118" i="4" s="1"/>
  <c r="A91" i="4"/>
  <c r="A39" i="4"/>
  <c r="A78" i="4"/>
  <c r="F61" i="4"/>
  <c r="E103" i="4"/>
  <c r="C104" i="4" s="1"/>
  <c r="I179" i="4"/>
  <c r="J179" i="4" s="1"/>
  <c r="D179" i="4"/>
  <c r="E179" i="4"/>
  <c r="C180" i="4" s="1"/>
  <c r="B21" i="4"/>
  <c r="N60" i="4" s="1"/>
  <c r="O60" i="4"/>
  <c r="E71" i="3"/>
  <c r="E70" i="3"/>
  <c r="L52" i="3"/>
  <c r="L68" i="3"/>
  <c r="L56" i="3"/>
  <c r="L72" i="3"/>
  <c r="L55" i="3"/>
  <c r="L71" i="3"/>
  <c r="L53" i="3"/>
  <c r="L69" i="3"/>
  <c r="L54" i="3"/>
  <c r="L70" i="3"/>
  <c r="E69" i="3"/>
  <c r="E53" i="3"/>
  <c r="E68" i="3"/>
  <c r="E52" i="3"/>
  <c r="L33" i="3"/>
  <c r="M29" i="3" s="1"/>
  <c r="D95" i="3"/>
  <c r="H17" i="1" s="1"/>
  <c r="F53" i="2"/>
  <c r="G51" i="2"/>
  <c r="E55" i="3"/>
  <c r="E56" i="3"/>
  <c r="E54" i="3"/>
  <c r="E33" i="3"/>
  <c r="F31" i="3" s="1"/>
  <c r="A144" i="4" l="1"/>
  <c r="A131" i="4"/>
  <c r="A105" i="4"/>
  <c r="A40" i="4"/>
  <c r="A65" i="4"/>
  <c r="A104" i="4"/>
  <c r="A130" i="4"/>
  <c r="A92" i="4"/>
  <c r="A52" i="4"/>
  <c r="A93" i="4"/>
  <c r="A119" i="4"/>
  <c r="A159" i="4"/>
  <c r="A107" i="4"/>
  <c r="A68" i="4"/>
  <c r="A94" i="4"/>
  <c r="A120" i="4"/>
  <c r="A133" i="4"/>
  <c r="A42" i="4"/>
  <c r="A81" i="4"/>
  <c r="B159" i="4"/>
  <c r="A158" i="4"/>
  <c r="A106" i="4"/>
  <c r="A146" i="4"/>
  <c r="A41" i="4"/>
  <c r="A172" i="4"/>
  <c r="A80" i="4"/>
  <c r="B180" i="4"/>
  <c r="H35" i="4"/>
  <c r="C36" i="4" s="1"/>
  <c r="G159" i="4"/>
  <c r="H159" i="4"/>
  <c r="F89" i="4"/>
  <c r="H90" i="4" s="1"/>
  <c r="B90" i="4"/>
  <c r="G76" i="4"/>
  <c r="H76" i="4"/>
  <c r="G62" i="4"/>
  <c r="H62" i="4"/>
  <c r="H21" i="4"/>
  <c r="A54" i="4"/>
  <c r="A145" i="4"/>
  <c r="A132" i="4"/>
  <c r="E131" i="4"/>
  <c r="C132" i="4" s="1"/>
  <c r="D131" i="4"/>
  <c r="B132" i="4" s="1"/>
  <c r="I131" i="4"/>
  <c r="J131" i="4" s="1"/>
  <c r="K131" i="4" s="1"/>
  <c r="E172" i="4"/>
  <c r="F117" i="4"/>
  <c r="F103" i="4"/>
  <c r="I172" i="4"/>
  <c r="J172" i="4" s="1"/>
  <c r="K172" i="4" s="1"/>
  <c r="E76" i="4"/>
  <c r="E48" i="4"/>
  <c r="C49" i="4" s="1"/>
  <c r="I145" i="4"/>
  <c r="J145" i="4" s="1"/>
  <c r="K145" i="4" s="1"/>
  <c r="D145" i="4"/>
  <c r="B146" i="4" s="1"/>
  <c r="I48" i="4"/>
  <c r="J48" i="4" s="1"/>
  <c r="K48" i="4" s="1"/>
  <c r="D48" i="4"/>
  <c r="B49" i="4" s="1"/>
  <c r="E145" i="4"/>
  <c r="C146" i="4" s="1"/>
  <c r="F179" i="4"/>
  <c r="E21" i="4"/>
  <c r="D35" i="4"/>
  <c r="F35" i="4" s="1"/>
  <c r="I35" i="4"/>
  <c r="J35" i="4" s="1"/>
  <c r="K35" i="4" s="1"/>
  <c r="I21" i="4"/>
  <c r="J21" i="4" s="1"/>
  <c r="K21" i="4" s="1"/>
  <c r="D21" i="4"/>
  <c r="F32" i="3"/>
  <c r="F72" i="3" s="1"/>
  <c r="F28" i="3"/>
  <c r="F30" i="3"/>
  <c r="F70" i="3" s="1"/>
  <c r="M28" i="3"/>
  <c r="M30" i="3"/>
  <c r="M31" i="3"/>
  <c r="M32" i="3"/>
  <c r="F29" i="3"/>
  <c r="F53" i="3" s="1"/>
  <c r="M53" i="3"/>
  <c r="E93" i="3"/>
  <c r="I15" i="1" s="1"/>
  <c r="E94" i="3"/>
  <c r="I16" i="1" s="1"/>
  <c r="E92" i="3"/>
  <c r="I14" i="1" s="1"/>
  <c r="E90" i="3"/>
  <c r="E91" i="3"/>
  <c r="I13" i="1" s="1"/>
  <c r="G52" i="2"/>
  <c r="F54" i="2"/>
  <c r="C77" i="4" l="1"/>
  <c r="G90" i="4"/>
  <c r="C22" i="4"/>
  <c r="B36" i="4"/>
  <c r="H180" i="4"/>
  <c r="G180" i="4"/>
  <c r="H118" i="4"/>
  <c r="G118" i="4"/>
  <c r="H104" i="4"/>
  <c r="G104" i="4"/>
  <c r="G36" i="4"/>
  <c r="H36" i="4"/>
  <c r="F131" i="4"/>
  <c r="F56" i="3"/>
  <c r="D159" i="4"/>
  <c r="B160" i="4" s="1"/>
  <c r="I159" i="4"/>
  <c r="J159" i="4" s="1"/>
  <c r="K159" i="4" s="1"/>
  <c r="I76" i="4"/>
  <c r="J76" i="4" s="1"/>
  <c r="K76" i="4" s="1"/>
  <c r="D76" i="4"/>
  <c r="F48" i="4"/>
  <c r="I90" i="4"/>
  <c r="J90" i="4" s="1"/>
  <c r="K90" i="4" s="1"/>
  <c r="D90" i="4"/>
  <c r="E159" i="4"/>
  <c r="C160" i="4" s="1"/>
  <c r="E90" i="4"/>
  <c r="C91" i="4" s="1"/>
  <c r="F172" i="4"/>
  <c r="F145" i="4"/>
  <c r="I62" i="4"/>
  <c r="J62" i="4" s="1"/>
  <c r="K62" i="4" s="1"/>
  <c r="D62" i="4"/>
  <c r="B63" i="4" s="1"/>
  <c r="E62" i="4"/>
  <c r="C63" i="4" s="1"/>
  <c r="F21" i="4"/>
  <c r="M69" i="3"/>
  <c r="M55" i="3"/>
  <c r="M71" i="3"/>
  <c r="M54" i="3"/>
  <c r="M70" i="3"/>
  <c r="M52" i="3"/>
  <c r="M68" i="3"/>
  <c r="M56" i="3"/>
  <c r="M72" i="3"/>
  <c r="F68" i="3"/>
  <c r="F52" i="3"/>
  <c r="M33" i="3"/>
  <c r="N32" i="3" s="1"/>
  <c r="G53" i="2"/>
  <c r="H51" i="2"/>
  <c r="F55" i="3"/>
  <c r="F71" i="3"/>
  <c r="F69" i="3"/>
  <c r="I12" i="1"/>
  <c r="E95" i="3"/>
  <c r="I17" i="1" s="1"/>
  <c r="F54" i="3"/>
  <c r="F33" i="3"/>
  <c r="B91" i="4" l="1"/>
  <c r="F76" i="4"/>
  <c r="H77" i="4" s="1"/>
  <c r="B77" i="4"/>
  <c r="H146" i="4"/>
  <c r="G146" i="4"/>
  <c r="H132" i="4"/>
  <c r="G132" i="4"/>
  <c r="G49" i="4"/>
  <c r="H49" i="4"/>
  <c r="H22" i="4"/>
  <c r="G22" i="4"/>
  <c r="I132" i="4"/>
  <c r="J132" i="4" s="1"/>
  <c r="K132" i="4" s="1"/>
  <c r="F90" i="4"/>
  <c r="F62" i="4"/>
  <c r="D104" i="4"/>
  <c r="B105" i="4" s="1"/>
  <c r="I104" i="4"/>
  <c r="J104" i="4" s="1"/>
  <c r="K104" i="4" s="1"/>
  <c r="E118" i="4"/>
  <c r="C119" i="4" s="1"/>
  <c r="D132" i="4"/>
  <c r="E104" i="4"/>
  <c r="C105" i="4" s="1"/>
  <c r="D118" i="4"/>
  <c r="B119" i="4" s="1"/>
  <c r="I118" i="4"/>
  <c r="J118" i="4" s="1"/>
  <c r="K118" i="4" s="1"/>
  <c r="G172" i="4"/>
  <c r="H172" i="4"/>
  <c r="F159" i="4"/>
  <c r="I180" i="4"/>
  <c r="J180" i="4" s="1"/>
  <c r="D180" i="4"/>
  <c r="B181" i="4" s="1"/>
  <c r="E180" i="4"/>
  <c r="C181" i="4" s="1"/>
  <c r="B22" i="4"/>
  <c r="N74" i="4" s="1"/>
  <c r="D36" i="4"/>
  <c r="B37" i="4" s="1"/>
  <c r="I36" i="4"/>
  <c r="J36" i="4" s="1"/>
  <c r="K36" i="4" s="1"/>
  <c r="E36" i="4"/>
  <c r="C37" i="4" s="1"/>
  <c r="O74" i="4"/>
  <c r="N29" i="3"/>
  <c r="N30" i="3"/>
  <c r="N28" i="3"/>
  <c r="N31" i="3"/>
  <c r="G31" i="3"/>
  <c r="G71" i="3" s="1"/>
  <c r="G28" i="3"/>
  <c r="G52" i="3" s="1"/>
  <c r="G30" i="3"/>
  <c r="G70" i="3" s="1"/>
  <c r="G32" i="3"/>
  <c r="G72" i="3" s="1"/>
  <c r="G29" i="3"/>
  <c r="F91" i="3"/>
  <c r="J13" i="1" s="1"/>
  <c r="F94" i="3"/>
  <c r="J16" i="1" s="1"/>
  <c r="F92" i="3"/>
  <c r="J14" i="1" s="1"/>
  <c r="F93" i="3"/>
  <c r="J15" i="1" s="1"/>
  <c r="F90" i="3"/>
  <c r="H52" i="2"/>
  <c r="G54" i="2"/>
  <c r="G77" i="4" l="1"/>
  <c r="B133" i="4"/>
  <c r="H160" i="4"/>
  <c r="G160" i="4"/>
  <c r="G91" i="4"/>
  <c r="H91" i="4"/>
  <c r="G63" i="4"/>
  <c r="H63" i="4"/>
  <c r="E132" i="4"/>
  <c r="E63" i="4"/>
  <c r="C64" i="4" s="1"/>
  <c r="I91" i="4"/>
  <c r="J91" i="4" s="1"/>
  <c r="K91" i="4" s="1"/>
  <c r="F104" i="4"/>
  <c r="D49" i="4"/>
  <c r="B50" i="4" s="1"/>
  <c r="I49" i="4"/>
  <c r="J49" i="4" s="1"/>
  <c r="K49" i="4" s="1"/>
  <c r="I146" i="4"/>
  <c r="J146" i="4" s="1"/>
  <c r="K146" i="4" s="1"/>
  <c r="D146" i="4"/>
  <c r="B147" i="4" s="1"/>
  <c r="E49" i="4"/>
  <c r="C50" i="4" s="1"/>
  <c r="E146" i="4"/>
  <c r="C147" i="4" s="1"/>
  <c r="F118" i="4"/>
  <c r="D91" i="4"/>
  <c r="B92" i="4" s="1"/>
  <c r="D63" i="4"/>
  <c r="E160" i="4"/>
  <c r="C161" i="4" s="1"/>
  <c r="I77" i="4"/>
  <c r="J77" i="4" s="1"/>
  <c r="K77" i="4" s="1"/>
  <c r="D77" i="4"/>
  <c r="E77" i="4"/>
  <c r="C78" i="4" s="1"/>
  <c r="F180" i="4"/>
  <c r="F36" i="4"/>
  <c r="D22" i="4"/>
  <c r="I22" i="4"/>
  <c r="J22" i="4" s="1"/>
  <c r="K22" i="4" s="1"/>
  <c r="E22" i="4"/>
  <c r="C23" i="4" s="1"/>
  <c r="N56" i="3"/>
  <c r="N72" i="3"/>
  <c r="N52" i="3"/>
  <c r="N68" i="3"/>
  <c r="N55" i="3"/>
  <c r="N71" i="3"/>
  <c r="N53" i="3"/>
  <c r="N69" i="3"/>
  <c r="N54" i="3"/>
  <c r="N70" i="3"/>
  <c r="G69" i="3"/>
  <c r="G53" i="3"/>
  <c r="G68" i="3"/>
  <c r="N33" i="3"/>
  <c r="H53" i="2"/>
  <c r="G56" i="3"/>
  <c r="G55" i="3"/>
  <c r="G54" i="3"/>
  <c r="F95" i="3"/>
  <c r="J17" i="1" s="1"/>
  <c r="J12" i="1"/>
  <c r="G33" i="3"/>
  <c r="B78" i="4" l="1"/>
  <c r="F132" i="4"/>
  <c r="G133" i="4" s="1"/>
  <c r="C133" i="4"/>
  <c r="E133" i="4" s="1"/>
  <c r="F63" i="4"/>
  <c r="H64" i="4" s="1"/>
  <c r="B64" i="4"/>
  <c r="H181" i="4"/>
  <c r="G181" i="4"/>
  <c r="G119" i="4"/>
  <c r="H119" i="4"/>
  <c r="G105" i="4"/>
  <c r="H105" i="4"/>
  <c r="E91" i="4"/>
  <c r="C92" i="4" s="1"/>
  <c r="G37" i="4"/>
  <c r="H37" i="4"/>
  <c r="I63" i="4"/>
  <c r="J63" i="4" s="1"/>
  <c r="K63" i="4" s="1"/>
  <c r="G94" i="3"/>
  <c r="I160" i="4"/>
  <c r="J160" i="4" s="1"/>
  <c r="K160" i="4" s="1"/>
  <c r="D160" i="4"/>
  <c r="D133" i="4"/>
  <c r="F146" i="4"/>
  <c r="E105" i="4"/>
  <c r="D105" i="4"/>
  <c r="I105" i="4"/>
  <c r="J105" i="4" s="1"/>
  <c r="K105" i="4" s="1"/>
  <c r="F77" i="4"/>
  <c r="F49" i="4"/>
  <c r="F22" i="4"/>
  <c r="G91" i="3"/>
  <c r="K13" i="1" s="1"/>
  <c r="G90" i="3"/>
  <c r="K12" i="1" s="1"/>
  <c r="G92" i="3"/>
  <c r="K14" i="1" s="1"/>
  <c r="G93" i="3"/>
  <c r="K15" i="1" s="1"/>
  <c r="H54" i="2"/>
  <c r="K16" i="1"/>
  <c r="H133" i="4" l="1"/>
  <c r="C134" i="4" s="1"/>
  <c r="B134" i="4"/>
  <c r="G64" i="4"/>
  <c r="F91" i="4"/>
  <c r="G92" i="4" s="1"/>
  <c r="F160" i="4"/>
  <c r="B161" i="4"/>
  <c r="C106" i="4"/>
  <c r="B106" i="4"/>
  <c r="H161" i="4"/>
  <c r="G161" i="4"/>
  <c r="G147" i="4"/>
  <c r="H147" i="4"/>
  <c r="H78" i="4"/>
  <c r="G78" i="4"/>
  <c r="H50" i="4"/>
  <c r="G50" i="4"/>
  <c r="G23" i="4"/>
  <c r="H23" i="4"/>
  <c r="I133" i="4"/>
  <c r="J133" i="4" s="1"/>
  <c r="K133" i="4" s="1"/>
  <c r="F133" i="4"/>
  <c r="D64" i="4"/>
  <c r="I64" i="4"/>
  <c r="J64" i="4" s="1"/>
  <c r="K64" i="4" s="1"/>
  <c r="D119" i="4"/>
  <c r="B120" i="4" s="1"/>
  <c r="I119" i="4"/>
  <c r="J119" i="4" s="1"/>
  <c r="K119" i="4" s="1"/>
  <c r="E147" i="4"/>
  <c r="E64" i="4"/>
  <c r="C65" i="4" s="1"/>
  <c r="E119" i="4"/>
  <c r="C120" i="4" s="1"/>
  <c r="E161" i="4"/>
  <c r="E50" i="4"/>
  <c r="F105" i="4"/>
  <c r="I181" i="4"/>
  <c r="J181" i="4" s="1"/>
  <c r="D181" i="4"/>
  <c r="B182" i="4" s="1"/>
  <c r="E181" i="4"/>
  <c r="C182" i="4" s="1"/>
  <c r="D37" i="4"/>
  <c r="B38" i="4" s="1"/>
  <c r="I37" i="4"/>
  <c r="O88" i="4"/>
  <c r="B23" i="4"/>
  <c r="N88" i="4" s="1"/>
  <c r="G95" i="3"/>
  <c r="K17" i="1" s="1"/>
  <c r="B65" i="4" l="1"/>
  <c r="H92" i="4"/>
  <c r="C148" i="4"/>
  <c r="C162" i="4"/>
  <c r="E134" i="4"/>
  <c r="C51" i="4"/>
  <c r="G134" i="4"/>
  <c r="H134" i="4"/>
  <c r="H106" i="4"/>
  <c r="G106" i="4"/>
  <c r="F64" i="4"/>
  <c r="F119" i="4"/>
  <c r="D161" i="4"/>
  <c r="F161" i="4" s="1"/>
  <c r="I161" i="4"/>
  <c r="J161" i="4" s="1"/>
  <c r="K161" i="4" s="1"/>
  <c r="D134" i="4"/>
  <c r="I134" i="4"/>
  <c r="J134" i="4" s="1"/>
  <c r="K134" i="4" s="1"/>
  <c r="I147" i="4"/>
  <c r="J147" i="4" s="1"/>
  <c r="K147" i="4" s="1"/>
  <c r="D147" i="4"/>
  <c r="E78" i="4"/>
  <c r="C79" i="4" s="1"/>
  <c r="I78" i="4"/>
  <c r="J78" i="4" s="1"/>
  <c r="K78" i="4" s="1"/>
  <c r="D78" i="4"/>
  <c r="B79" i="4" s="1"/>
  <c r="D50" i="4"/>
  <c r="I50" i="4"/>
  <c r="J50" i="4" s="1"/>
  <c r="K50" i="4" s="1"/>
  <c r="D92" i="4"/>
  <c r="B93" i="4" s="1"/>
  <c r="I92" i="4"/>
  <c r="J92" i="4" s="1"/>
  <c r="K92" i="4" s="1"/>
  <c r="E92" i="4"/>
  <c r="C93" i="4" s="1"/>
  <c r="F181" i="4"/>
  <c r="J37" i="4"/>
  <c r="K37" i="4" s="1"/>
  <c r="E37" i="4"/>
  <c r="D23" i="4"/>
  <c r="I23" i="4"/>
  <c r="J23" i="4" s="1"/>
  <c r="K23" i="4" s="1"/>
  <c r="E23" i="4"/>
  <c r="C24" i="4" s="1"/>
  <c r="C135" i="4" l="1"/>
  <c r="E135" i="4" s="1"/>
  <c r="B162" i="4"/>
  <c r="F147" i="4"/>
  <c r="H148" i="4" s="1"/>
  <c r="B148" i="4"/>
  <c r="F134" i="4"/>
  <c r="H135" i="4" s="1"/>
  <c r="B135" i="4"/>
  <c r="F50" i="4"/>
  <c r="H51" i="4" s="1"/>
  <c r="B51" i="4"/>
  <c r="F37" i="4"/>
  <c r="G38" i="4" s="1"/>
  <c r="C38" i="4"/>
  <c r="E38" i="4" s="1"/>
  <c r="G182" i="4"/>
  <c r="H182" i="4"/>
  <c r="H162" i="4"/>
  <c r="G162" i="4"/>
  <c r="G148" i="4"/>
  <c r="H120" i="4"/>
  <c r="G120" i="4"/>
  <c r="H65" i="4"/>
  <c r="G65" i="4"/>
  <c r="G51" i="4"/>
  <c r="E65" i="4"/>
  <c r="E120" i="4"/>
  <c r="F78" i="4"/>
  <c r="E106" i="4"/>
  <c r="C107" i="4" s="1"/>
  <c r="D106" i="4"/>
  <c r="B107" i="4" s="1"/>
  <c r="I106" i="4"/>
  <c r="J106" i="4" s="1"/>
  <c r="K106" i="4" s="1"/>
  <c r="D120" i="4"/>
  <c r="I120" i="4"/>
  <c r="J120" i="4" s="1"/>
  <c r="K120" i="4" s="1"/>
  <c r="E162" i="4"/>
  <c r="E148" i="4"/>
  <c r="F92" i="4"/>
  <c r="D65" i="4"/>
  <c r="F23" i="4"/>
  <c r="C136" i="4" l="1"/>
  <c r="B121" i="4"/>
  <c r="G135" i="4"/>
  <c r="C121" i="4"/>
  <c r="C66" i="4"/>
  <c r="H38" i="4"/>
  <c r="C149" i="4"/>
  <c r="C163" i="4"/>
  <c r="B66" i="4"/>
  <c r="C39" i="4"/>
  <c r="H93" i="4"/>
  <c r="G93" i="4"/>
  <c r="H79" i="4"/>
  <c r="G79" i="4"/>
  <c r="H24" i="4"/>
  <c r="G24" i="4"/>
  <c r="I65" i="4"/>
  <c r="J65" i="4" s="1"/>
  <c r="K65" i="4" s="1"/>
  <c r="F65" i="4"/>
  <c r="F106" i="4"/>
  <c r="F120" i="4"/>
  <c r="D79" i="4"/>
  <c r="I79" i="4"/>
  <c r="J79" i="4" s="1"/>
  <c r="K79" i="4" s="1"/>
  <c r="I135" i="4"/>
  <c r="J135" i="4" s="1"/>
  <c r="K135" i="4" s="1"/>
  <c r="D135" i="4"/>
  <c r="F135" i="4" s="1"/>
  <c r="I51" i="4"/>
  <c r="J51" i="4" s="1"/>
  <c r="K51" i="4" s="1"/>
  <c r="D51" i="4"/>
  <c r="I148" i="4"/>
  <c r="J148" i="4" s="1"/>
  <c r="K148" i="4" s="1"/>
  <c r="D148" i="4"/>
  <c r="F148" i="4" s="1"/>
  <c r="E51" i="4"/>
  <c r="C52" i="4" s="1"/>
  <c r="D162" i="4"/>
  <c r="F162" i="4" s="1"/>
  <c r="I162" i="4"/>
  <c r="J162" i="4" s="1"/>
  <c r="K162" i="4" s="1"/>
  <c r="E66" i="4"/>
  <c r="E79" i="4"/>
  <c r="D182" i="4"/>
  <c r="B183" i="4" s="1"/>
  <c r="I182" i="4"/>
  <c r="J182" i="4" s="1"/>
  <c r="E182" i="4"/>
  <c r="C183" i="4" s="1"/>
  <c r="D38" i="4"/>
  <c r="B39" i="4" s="1"/>
  <c r="I38" i="4"/>
  <c r="J38" i="4" s="1"/>
  <c r="K38" i="4" s="1"/>
  <c r="B24" i="4"/>
  <c r="C80" i="4" l="1"/>
  <c r="B163" i="4"/>
  <c r="B149" i="4"/>
  <c r="B136" i="4"/>
  <c r="B80" i="4"/>
  <c r="F51" i="4"/>
  <c r="B52" i="4"/>
  <c r="H163" i="4"/>
  <c r="G163" i="4"/>
  <c r="H149" i="4"/>
  <c r="G149" i="4"/>
  <c r="H136" i="4"/>
  <c r="G136" i="4"/>
  <c r="E121" i="4"/>
  <c r="H121" i="4"/>
  <c r="G121" i="4"/>
  <c r="H107" i="4"/>
  <c r="G107" i="4"/>
  <c r="H66" i="4"/>
  <c r="C67" i="4" s="1"/>
  <c r="G66" i="4"/>
  <c r="G52" i="4"/>
  <c r="H52" i="4"/>
  <c r="I121" i="4"/>
  <c r="J121" i="4" s="1"/>
  <c r="K121" i="4" s="1"/>
  <c r="D107" i="4"/>
  <c r="B108" i="4" s="1"/>
  <c r="I107" i="4"/>
  <c r="J107" i="4" s="1"/>
  <c r="K107" i="4" s="1"/>
  <c r="E136" i="4"/>
  <c r="E163" i="4"/>
  <c r="I93" i="4"/>
  <c r="J93" i="4" s="1"/>
  <c r="K93" i="4" s="1"/>
  <c r="D93" i="4"/>
  <c r="B94" i="4" s="1"/>
  <c r="E93" i="4"/>
  <c r="C94" i="4" s="1"/>
  <c r="E149" i="4"/>
  <c r="D66" i="4"/>
  <c r="F66" i="4" s="1"/>
  <c r="I66" i="4"/>
  <c r="J66" i="4" s="1"/>
  <c r="K66" i="4" s="1"/>
  <c r="E107" i="4"/>
  <c r="C108" i="4" s="1"/>
  <c r="F79" i="4"/>
  <c r="F182" i="4"/>
  <c r="F38" i="4"/>
  <c r="I24" i="4"/>
  <c r="J24" i="4" s="1"/>
  <c r="K24" i="4" s="1"/>
  <c r="D24" i="4"/>
  <c r="B25" i="4" s="1"/>
  <c r="E24" i="4"/>
  <c r="C25" i="4" s="1"/>
  <c r="C150" i="4" l="1"/>
  <c r="C137" i="4"/>
  <c r="C164" i="4"/>
  <c r="C122" i="4"/>
  <c r="B67" i="4"/>
  <c r="D67" i="4" s="1"/>
  <c r="H183" i="4"/>
  <c r="G183" i="4"/>
  <c r="H80" i="4"/>
  <c r="G80" i="4"/>
  <c r="H67" i="4"/>
  <c r="G67" i="4"/>
  <c r="G39" i="4"/>
  <c r="H39" i="4"/>
  <c r="D121" i="4"/>
  <c r="E52" i="4"/>
  <c r="C53" i="4" s="1"/>
  <c r="I136" i="4"/>
  <c r="J136" i="4" s="1"/>
  <c r="K136" i="4" s="1"/>
  <c r="D136" i="4"/>
  <c r="F136" i="4" s="1"/>
  <c r="I52" i="4"/>
  <c r="J52" i="4" s="1"/>
  <c r="K52" i="4" s="1"/>
  <c r="D52" i="4"/>
  <c r="D163" i="4"/>
  <c r="F163" i="4" s="1"/>
  <c r="I163" i="4"/>
  <c r="J163" i="4" s="1"/>
  <c r="K163" i="4" s="1"/>
  <c r="F93" i="4"/>
  <c r="I149" i="4"/>
  <c r="J149" i="4" s="1"/>
  <c r="K149" i="4" s="1"/>
  <c r="D149" i="4"/>
  <c r="F149" i="4" s="1"/>
  <c r="F107" i="4"/>
  <c r="E67" i="4"/>
  <c r="F24" i="4"/>
  <c r="C68" i="4" l="1"/>
  <c r="B164" i="4"/>
  <c r="B150" i="4"/>
  <c r="B137" i="4"/>
  <c r="F121" i="4"/>
  <c r="H122" i="4" s="1"/>
  <c r="B122" i="4"/>
  <c r="I122" i="4" s="1"/>
  <c r="J122" i="4" s="1"/>
  <c r="K122" i="4" s="1"/>
  <c r="B68" i="4"/>
  <c r="F52" i="4"/>
  <c r="H53" i="4" s="1"/>
  <c r="B53" i="4"/>
  <c r="H164" i="4"/>
  <c r="G164" i="4"/>
  <c r="G150" i="4"/>
  <c r="H150" i="4"/>
  <c r="G137" i="4"/>
  <c r="H137" i="4"/>
  <c r="H108" i="4"/>
  <c r="G108" i="4"/>
  <c r="H94" i="4"/>
  <c r="G94" i="4"/>
  <c r="I67" i="4"/>
  <c r="J67" i="4" s="1"/>
  <c r="K67" i="4" s="1"/>
  <c r="G25" i="4"/>
  <c r="H25" i="4"/>
  <c r="E122" i="4"/>
  <c r="E108" i="4"/>
  <c r="E137" i="4"/>
  <c r="E164" i="4"/>
  <c r="I80" i="4"/>
  <c r="J80" i="4" s="1"/>
  <c r="K80" i="4" s="1"/>
  <c r="D80" i="4"/>
  <c r="B81" i="4" s="1"/>
  <c r="E150" i="4"/>
  <c r="E80" i="4"/>
  <c r="C81" i="4" s="1"/>
  <c r="E183" i="4"/>
  <c r="C184" i="4" s="1"/>
  <c r="D183" i="4"/>
  <c r="B184" i="4" s="1"/>
  <c r="I183" i="4"/>
  <c r="J183" i="4" s="1"/>
  <c r="D39" i="4"/>
  <c r="B40" i="4" s="1"/>
  <c r="F67" i="4"/>
  <c r="N102" i="4"/>
  <c r="G53" i="4" l="1"/>
  <c r="C151" i="4"/>
  <c r="D122" i="4"/>
  <c r="G122" i="4"/>
  <c r="C165" i="4"/>
  <c r="C109" i="4"/>
  <c r="C123" i="4"/>
  <c r="E123" i="4" s="1"/>
  <c r="C138" i="4"/>
  <c r="F122" i="4"/>
  <c r="G123" i="4" s="1"/>
  <c r="B123" i="4"/>
  <c r="H123" i="4"/>
  <c r="G68" i="4"/>
  <c r="H68" i="4"/>
  <c r="I137" i="4"/>
  <c r="J137" i="4" s="1"/>
  <c r="K137" i="4" s="1"/>
  <c r="D137" i="4"/>
  <c r="F137" i="4" s="1"/>
  <c r="D108" i="4"/>
  <c r="I108" i="4"/>
  <c r="J108" i="4" s="1"/>
  <c r="K108" i="4" s="1"/>
  <c r="I53" i="4"/>
  <c r="J53" i="4" s="1"/>
  <c r="K53" i="4" s="1"/>
  <c r="D53" i="4"/>
  <c r="B54" i="4" s="1"/>
  <c r="F80" i="4"/>
  <c r="E53" i="4"/>
  <c r="C54" i="4" s="1"/>
  <c r="D150" i="4"/>
  <c r="F150" i="4" s="1"/>
  <c r="I150" i="4"/>
  <c r="J150" i="4" s="1"/>
  <c r="K150" i="4" s="1"/>
  <c r="D94" i="4"/>
  <c r="B95" i="4" s="1"/>
  <c r="I94" i="4"/>
  <c r="J94" i="4" s="1"/>
  <c r="K94" i="4" s="1"/>
  <c r="E25" i="4"/>
  <c r="C26" i="4" s="1"/>
  <c r="O102" i="4"/>
  <c r="E94" i="4"/>
  <c r="C95" i="4" s="1"/>
  <c r="E39" i="4"/>
  <c r="C40" i="4" s="1"/>
  <c r="D164" i="4"/>
  <c r="F164" i="4" s="1"/>
  <c r="I164" i="4"/>
  <c r="J164" i="4" s="1"/>
  <c r="K164" i="4" s="1"/>
  <c r="F183" i="4"/>
  <c r="I39" i="4"/>
  <c r="J39" i="4" s="1"/>
  <c r="K39" i="4" s="1"/>
  <c r="D25" i="4"/>
  <c r="I25" i="4"/>
  <c r="J25" i="4" s="1"/>
  <c r="K25" i="4" s="1"/>
  <c r="C124" i="4" l="1"/>
  <c r="B165" i="4"/>
  <c r="B151" i="4"/>
  <c r="B138" i="4"/>
  <c r="F108" i="4"/>
  <c r="G109" i="4" s="1"/>
  <c r="B109" i="4"/>
  <c r="E184" i="4"/>
  <c r="H184" i="4"/>
  <c r="G184" i="4"/>
  <c r="G165" i="4"/>
  <c r="H165" i="4"/>
  <c r="H151" i="4"/>
  <c r="G151" i="4"/>
  <c r="H138" i="4"/>
  <c r="G138" i="4"/>
  <c r="H81" i="4"/>
  <c r="G81" i="4"/>
  <c r="F53" i="4"/>
  <c r="E109" i="4"/>
  <c r="F94" i="4"/>
  <c r="E165" i="4"/>
  <c r="I123" i="4"/>
  <c r="J123" i="4" s="1"/>
  <c r="K123" i="4" s="1"/>
  <c r="D123" i="4"/>
  <c r="F123" i="4" s="1"/>
  <c r="E138" i="4"/>
  <c r="E151" i="4"/>
  <c r="I68" i="4"/>
  <c r="J68" i="4" s="1"/>
  <c r="D68" i="4"/>
  <c r="B69" i="4" s="1"/>
  <c r="E68" i="4"/>
  <c r="C69" i="4" s="1"/>
  <c r="F39" i="4"/>
  <c r="F25" i="4"/>
  <c r="C185" i="4" l="1"/>
  <c r="C166" i="4"/>
  <c r="H109" i="4"/>
  <c r="C139" i="4"/>
  <c r="C152" i="4"/>
  <c r="B124" i="4"/>
  <c r="C110" i="4"/>
  <c r="H124" i="4"/>
  <c r="G124" i="4"/>
  <c r="H95" i="4"/>
  <c r="G95" i="4"/>
  <c r="H54" i="4"/>
  <c r="G54" i="4"/>
  <c r="G40" i="4"/>
  <c r="H40" i="4"/>
  <c r="G26" i="4"/>
  <c r="H26" i="4"/>
  <c r="D151" i="4"/>
  <c r="F151" i="4" s="1"/>
  <c r="I151" i="4"/>
  <c r="J151" i="4" s="1"/>
  <c r="K151" i="4" s="1"/>
  <c r="I81" i="4"/>
  <c r="J81" i="4" s="1"/>
  <c r="K81" i="4" s="1"/>
  <c r="D81" i="4"/>
  <c r="B82" i="4" s="1"/>
  <c r="D138" i="4"/>
  <c r="F138" i="4" s="1"/>
  <c r="I138" i="4"/>
  <c r="J138" i="4" s="1"/>
  <c r="K138" i="4" s="1"/>
  <c r="I109" i="4"/>
  <c r="J109" i="4" s="1"/>
  <c r="K109" i="4" s="1"/>
  <c r="D109" i="4"/>
  <c r="F109" i="4" s="1"/>
  <c r="I165" i="4"/>
  <c r="J165" i="4" s="1"/>
  <c r="K165" i="4" s="1"/>
  <c r="D165" i="4"/>
  <c r="F165" i="4" s="1"/>
  <c r="E81" i="4"/>
  <c r="C82" i="4" s="1"/>
  <c r="E124" i="4"/>
  <c r="I184" i="4"/>
  <c r="J184" i="4" s="1"/>
  <c r="D184" i="4"/>
  <c r="F68" i="4"/>
  <c r="K68" i="4"/>
  <c r="B26" i="4"/>
  <c r="N116" i="4" s="1"/>
  <c r="C125" i="4" l="1"/>
  <c r="B166" i="4"/>
  <c r="B152" i="4"/>
  <c r="B139" i="4"/>
  <c r="B110" i="4"/>
  <c r="F184" i="4"/>
  <c r="G185" i="4" s="1"/>
  <c r="B185" i="4"/>
  <c r="H185" i="4"/>
  <c r="H166" i="4"/>
  <c r="G166" i="4"/>
  <c r="H152" i="4"/>
  <c r="G152" i="4"/>
  <c r="G139" i="4"/>
  <c r="H139" i="4"/>
  <c r="H110" i="4"/>
  <c r="G110" i="4"/>
  <c r="H69" i="4"/>
  <c r="G69" i="4"/>
  <c r="I124" i="4"/>
  <c r="J124" i="4" s="1"/>
  <c r="K124" i="4" s="1"/>
  <c r="D124" i="4"/>
  <c r="F124" i="4" s="1"/>
  <c r="D54" i="4"/>
  <c r="B55" i="4" s="1"/>
  <c r="I54" i="4"/>
  <c r="J54" i="4" s="1"/>
  <c r="K54" i="4" s="1"/>
  <c r="F81" i="4"/>
  <c r="E95" i="4"/>
  <c r="C96" i="4" s="1"/>
  <c r="E26" i="4"/>
  <c r="C27" i="4" s="1"/>
  <c r="O116" i="4"/>
  <c r="E166" i="4"/>
  <c r="E54" i="4"/>
  <c r="C55" i="4" s="1"/>
  <c r="I95" i="4"/>
  <c r="J95" i="4" s="1"/>
  <c r="K95" i="4" s="1"/>
  <c r="D95" i="4"/>
  <c r="B96" i="4" s="1"/>
  <c r="E110" i="4"/>
  <c r="E139" i="4"/>
  <c r="E152" i="4"/>
  <c r="D40" i="4"/>
  <c r="B41" i="4" s="1"/>
  <c r="D26" i="4"/>
  <c r="I26" i="4"/>
  <c r="J26" i="4" s="1"/>
  <c r="K26" i="4" s="1"/>
  <c r="C111" i="4" l="1"/>
  <c r="C153" i="4"/>
  <c r="C167" i="4"/>
  <c r="C140" i="4"/>
  <c r="B125" i="4"/>
  <c r="H125" i="4"/>
  <c r="G125" i="4"/>
  <c r="G82" i="4"/>
  <c r="H82" i="4"/>
  <c r="F26" i="4"/>
  <c r="F54" i="4"/>
  <c r="D139" i="4"/>
  <c r="F139" i="4" s="1"/>
  <c r="I139" i="4"/>
  <c r="J139" i="4" s="1"/>
  <c r="K139" i="4" s="1"/>
  <c r="F95" i="4"/>
  <c r="D152" i="4"/>
  <c r="F152" i="4" s="1"/>
  <c r="I152" i="4"/>
  <c r="J152" i="4" s="1"/>
  <c r="K152" i="4" s="1"/>
  <c r="I110" i="4"/>
  <c r="J110" i="4" s="1"/>
  <c r="K110" i="4" s="1"/>
  <c r="D110" i="4"/>
  <c r="F110" i="4" s="1"/>
  <c r="E125" i="4"/>
  <c r="I166" i="4"/>
  <c r="J166" i="4" s="1"/>
  <c r="K166" i="4" s="1"/>
  <c r="D166" i="4"/>
  <c r="F166" i="4" s="1"/>
  <c r="E40" i="4"/>
  <c r="E185" i="4"/>
  <c r="C186" i="4" s="1"/>
  <c r="D185" i="4"/>
  <c r="B186" i="4" s="1"/>
  <c r="I185" i="4"/>
  <c r="J185" i="4" s="1"/>
  <c r="I40" i="4"/>
  <c r="J40" i="4" s="1"/>
  <c r="K40" i="4" s="1"/>
  <c r="D69" i="4"/>
  <c r="B70" i="4" s="1"/>
  <c r="I69" i="4"/>
  <c r="J69" i="4" s="1"/>
  <c r="E69" i="4"/>
  <c r="C70" i="4" s="1"/>
  <c r="E27" i="4"/>
  <c r="B27" i="4"/>
  <c r="N130" i="4" s="1"/>
  <c r="C126" i="4" l="1"/>
  <c r="B167" i="4"/>
  <c r="B153" i="4"/>
  <c r="B140" i="4"/>
  <c r="B111" i="4"/>
  <c r="F40" i="4"/>
  <c r="G41" i="4" s="1"/>
  <c r="C41" i="4"/>
  <c r="G167" i="4"/>
  <c r="H167" i="4"/>
  <c r="G153" i="4"/>
  <c r="H153" i="4"/>
  <c r="G140" i="4"/>
  <c r="H140" i="4"/>
  <c r="G111" i="4"/>
  <c r="H111" i="4"/>
  <c r="H96" i="4"/>
  <c r="G96" i="4"/>
  <c r="G55" i="4"/>
  <c r="H55" i="4"/>
  <c r="G27" i="4"/>
  <c r="H27" i="4"/>
  <c r="C28" i="4" s="1"/>
  <c r="E111" i="4"/>
  <c r="I55" i="4"/>
  <c r="J55" i="4" s="1"/>
  <c r="K55" i="4" s="1"/>
  <c r="D55" i="4"/>
  <c r="O158" i="4"/>
  <c r="E55" i="4"/>
  <c r="D82" i="4"/>
  <c r="B83" i="4" s="1"/>
  <c r="I82" i="4"/>
  <c r="J82" i="4" s="1"/>
  <c r="K82" i="4" s="1"/>
  <c r="E96" i="4"/>
  <c r="E153" i="4"/>
  <c r="E82" i="4"/>
  <c r="C83" i="4" s="1"/>
  <c r="O172" i="4"/>
  <c r="O130" i="4"/>
  <c r="E167" i="4"/>
  <c r="D125" i="4"/>
  <c r="F125" i="4" s="1"/>
  <c r="I125" i="4"/>
  <c r="J125" i="4" s="1"/>
  <c r="K125" i="4" s="1"/>
  <c r="E140" i="4"/>
  <c r="F185" i="4"/>
  <c r="D27" i="4"/>
  <c r="F27" i="4" s="1"/>
  <c r="K69" i="4"/>
  <c r="F69" i="4"/>
  <c r="I27" i="4"/>
  <c r="J27" i="4" s="1"/>
  <c r="K27" i="4" s="1"/>
  <c r="H41" i="4" l="1"/>
  <c r="C56" i="4"/>
  <c r="C141" i="4"/>
  <c r="B56" i="4"/>
  <c r="C168" i="4"/>
  <c r="C154" i="4"/>
  <c r="B126" i="4"/>
  <c r="C112" i="4"/>
  <c r="C97" i="4"/>
  <c r="D186" i="4"/>
  <c r="H186" i="4"/>
  <c r="G186" i="4"/>
  <c r="H126" i="4"/>
  <c r="G126" i="4"/>
  <c r="F82" i="4"/>
  <c r="G70" i="4"/>
  <c r="H70" i="4"/>
  <c r="H28" i="4"/>
  <c r="G28" i="4"/>
  <c r="Q172" i="4"/>
  <c r="H10" i="2" s="1"/>
  <c r="H59" i="2" s="1"/>
  <c r="D153" i="4"/>
  <c r="F153" i="4" s="1"/>
  <c r="I153" i="4"/>
  <c r="J153" i="4" s="1"/>
  <c r="K153" i="4" s="1"/>
  <c r="I140" i="4"/>
  <c r="J140" i="4" s="1"/>
  <c r="K140" i="4" s="1"/>
  <c r="D140" i="4"/>
  <c r="F140" i="4" s="1"/>
  <c r="E41" i="4"/>
  <c r="C42" i="4" s="1"/>
  <c r="D111" i="4"/>
  <c r="F111" i="4" s="1"/>
  <c r="I111" i="4"/>
  <c r="J111" i="4" s="1"/>
  <c r="K111" i="4" s="1"/>
  <c r="E83" i="4"/>
  <c r="I96" i="4"/>
  <c r="J96" i="4" s="1"/>
  <c r="K96" i="4" s="1"/>
  <c r="D96" i="4"/>
  <c r="D167" i="4"/>
  <c r="F167" i="4" s="1"/>
  <c r="I167" i="4"/>
  <c r="J167" i="4" s="1"/>
  <c r="K167" i="4" s="1"/>
  <c r="F55" i="4"/>
  <c r="D126" i="4"/>
  <c r="D41" i="4"/>
  <c r="B42" i="4" s="1"/>
  <c r="I41" i="4"/>
  <c r="J41" i="4" s="1"/>
  <c r="K41" i="4" s="1"/>
  <c r="B28" i="4"/>
  <c r="N144" i="4" s="1"/>
  <c r="B168" i="4" l="1"/>
  <c r="B154" i="4"/>
  <c r="B141" i="4"/>
  <c r="B127" i="4"/>
  <c r="B112" i="4"/>
  <c r="F96" i="4"/>
  <c r="G97" i="4" s="1"/>
  <c r="B97" i="4"/>
  <c r="B187" i="4"/>
  <c r="L176" i="4" s="1"/>
  <c r="L18" i="4" s="1"/>
  <c r="H168" i="4"/>
  <c r="G168" i="4"/>
  <c r="G154" i="4"/>
  <c r="H154" i="4"/>
  <c r="G141" i="4"/>
  <c r="H141" i="4"/>
  <c r="H112" i="4"/>
  <c r="G112" i="4"/>
  <c r="H83" i="4"/>
  <c r="C84" i="4" s="1"/>
  <c r="G83" i="4"/>
  <c r="H56" i="4"/>
  <c r="G56" i="4"/>
  <c r="F41" i="4"/>
  <c r="H42" i="4" s="1"/>
  <c r="E42" i="4"/>
  <c r="H23" i="2"/>
  <c r="H40" i="2" s="1"/>
  <c r="E112" i="4"/>
  <c r="I126" i="4"/>
  <c r="J126" i="4" s="1"/>
  <c r="K126" i="4" s="1"/>
  <c r="E126" i="4"/>
  <c r="E56" i="4"/>
  <c r="E141" i="4"/>
  <c r="E154" i="4"/>
  <c r="E168" i="4"/>
  <c r="E97" i="4"/>
  <c r="I83" i="4"/>
  <c r="J83" i="4" s="1"/>
  <c r="K83" i="4" s="1"/>
  <c r="D83" i="4"/>
  <c r="I186" i="4"/>
  <c r="J186" i="4" s="1"/>
  <c r="E186" i="4"/>
  <c r="D70" i="4"/>
  <c r="B71" i="4" s="1"/>
  <c r="I70" i="4"/>
  <c r="J70" i="4" s="1"/>
  <c r="E70" i="4"/>
  <c r="C71" i="4" s="1"/>
  <c r="O144" i="4"/>
  <c r="G42" i="4" l="1"/>
  <c r="F186" i="4"/>
  <c r="H187" i="4" s="1"/>
  <c r="C187" i="4"/>
  <c r="C169" i="4"/>
  <c r="C155" i="4"/>
  <c r="H97" i="4"/>
  <c r="C113" i="4"/>
  <c r="C98" i="4"/>
  <c r="C43" i="4"/>
  <c r="F126" i="4"/>
  <c r="H127" i="4" s="1"/>
  <c r="C127" i="4"/>
  <c r="E127" i="4" s="1"/>
  <c r="F83" i="4"/>
  <c r="H84" i="4" s="1"/>
  <c r="B84" i="4"/>
  <c r="C57" i="4"/>
  <c r="G187" i="4"/>
  <c r="D141" i="4"/>
  <c r="F141" i="4" s="1"/>
  <c r="I141" i="4"/>
  <c r="J141" i="4" s="1"/>
  <c r="K141" i="4" s="1"/>
  <c r="D56" i="4"/>
  <c r="I56" i="4"/>
  <c r="J56" i="4" s="1"/>
  <c r="K56" i="4" s="1"/>
  <c r="E84" i="4"/>
  <c r="I97" i="4"/>
  <c r="J97" i="4" s="1"/>
  <c r="K97" i="4" s="1"/>
  <c r="D97" i="4"/>
  <c r="F97" i="4" s="1"/>
  <c r="D112" i="4"/>
  <c r="F112" i="4" s="1"/>
  <c r="I112" i="4"/>
  <c r="J112" i="4" s="1"/>
  <c r="K112" i="4" s="1"/>
  <c r="I168" i="4"/>
  <c r="J168" i="4" s="1"/>
  <c r="K168" i="4" s="1"/>
  <c r="D168" i="4"/>
  <c r="F168" i="4" s="1"/>
  <c r="D154" i="4"/>
  <c r="F154" i="4" s="1"/>
  <c r="I154" i="4"/>
  <c r="J154" i="4" s="1"/>
  <c r="K154" i="4" s="1"/>
  <c r="D42" i="4"/>
  <c r="I42" i="4"/>
  <c r="J42" i="4" s="1"/>
  <c r="K42" i="4" s="1"/>
  <c r="K70" i="4"/>
  <c r="F70" i="4"/>
  <c r="D28" i="4"/>
  <c r="I28" i="4"/>
  <c r="J28" i="4" s="1"/>
  <c r="K28" i="4" s="1"/>
  <c r="E28" i="4"/>
  <c r="C29" i="4" s="1"/>
  <c r="B43" i="4" l="1"/>
  <c r="C85" i="4"/>
  <c r="G84" i="4"/>
  <c r="G127" i="4"/>
  <c r="B169" i="4"/>
  <c r="B155" i="4"/>
  <c r="B113" i="4"/>
  <c r="B98" i="4"/>
  <c r="F56" i="4"/>
  <c r="H57" i="4" s="1"/>
  <c r="B57" i="4"/>
  <c r="H169" i="4"/>
  <c r="G169" i="4"/>
  <c r="H155" i="4"/>
  <c r="G155" i="4"/>
  <c r="G113" i="4"/>
  <c r="H113" i="4"/>
  <c r="G98" i="4"/>
  <c r="H98" i="4"/>
  <c r="H71" i="4"/>
  <c r="G71" i="4"/>
  <c r="E169" i="4"/>
  <c r="D84" i="4"/>
  <c r="F84" i="4" s="1"/>
  <c r="I84" i="4"/>
  <c r="J84" i="4" s="1"/>
  <c r="K84" i="4" s="1"/>
  <c r="I127" i="4"/>
  <c r="J127" i="4" s="1"/>
  <c r="K127" i="4" s="1"/>
  <c r="D127" i="4"/>
  <c r="F127" i="4" s="1"/>
  <c r="E155" i="4"/>
  <c r="E57" i="4"/>
  <c r="E113" i="4"/>
  <c r="E98" i="4"/>
  <c r="M186" i="4"/>
  <c r="M158" i="4" s="1"/>
  <c r="E187" i="4"/>
  <c r="M176" i="4"/>
  <c r="M18" i="4" s="1"/>
  <c r="M177" i="4"/>
  <c r="M32" i="4" s="1"/>
  <c r="M178" i="4"/>
  <c r="M46" i="4" s="1"/>
  <c r="M179" i="4"/>
  <c r="M60" i="4" s="1"/>
  <c r="M180" i="4"/>
  <c r="M74" i="4" s="1"/>
  <c r="M181" i="4"/>
  <c r="M88" i="4" s="1"/>
  <c r="M185" i="4"/>
  <c r="M144" i="4" s="1"/>
  <c r="M182" i="4"/>
  <c r="M102" i="4" s="1"/>
  <c r="M184" i="4"/>
  <c r="M130" i="4" s="1"/>
  <c r="M183" i="4"/>
  <c r="M116" i="4" s="1"/>
  <c r="I187" i="4"/>
  <c r="J187" i="4" s="1"/>
  <c r="L186" i="4"/>
  <c r="L158" i="4" s="1"/>
  <c r="D187" i="4"/>
  <c r="P18" i="4"/>
  <c r="C5" i="2" s="1"/>
  <c r="L177" i="4"/>
  <c r="L32" i="4" s="1"/>
  <c r="P32" i="4" s="1"/>
  <c r="C6" i="2" s="1"/>
  <c r="L178" i="4"/>
  <c r="L179" i="4"/>
  <c r="L60" i="4" s="1"/>
  <c r="P60" i="4" s="1"/>
  <c r="D6" i="2" s="1"/>
  <c r="L180" i="4"/>
  <c r="L74" i="4" s="1"/>
  <c r="P74" i="4" s="1"/>
  <c r="E5" i="2" s="1"/>
  <c r="L183" i="4"/>
  <c r="L116" i="4" s="1"/>
  <c r="P116" i="4" s="1"/>
  <c r="F6" i="2" s="1"/>
  <c r="L184" i="4"/>
  <c r="L130" i="4" s="1"/>
  <c r="P130" i="4" s="1"/>
  <c r="G5" i="2" s="1"/>
  <c r="L182" i="4"/>
  <c r="L102" i="4" s="1"/>
  <c r="P102" i="4" s="1"/>
  <c r="F5" i="2" s="1"/>
  <c r="L185" i="4"/>
  <c r="L144" i="4" s="1"/>
  <c r="P144" i="4" s="1"/>
  <c r="G6" i="2" s="1"/>
  <c r="L181" i="4"/>
  <c r="L88" i="4" s="1"/>
  <c r="P88" i="4" s="1"/>
  <c r="E6" i="2" s="1"/>
  <c r="E71" i="4"/>
  <c r="F42" i="4"/>
  <c r="F28" i="4"/>
  <c r="G57" i="4" l="1"/>
  <c r="L46" i="4"/>
  <c r="P46" i="4" s="1"/>
  <c r="D5" i="2" s="1"/>
  <c r="D12" i="2" s="1"/>
  <c r="C99" i="4"/>
  <c r="B85" i="4"/>
  <c r="F187" i="4"/>
  <c r="H85" i="4"/>
  <c r="G85" i="4"/>
  <c r="G43" i="4"/>
  <c r="H43" i="4"/>
  <c r="G29" i="4"/>
  <c r="H29" i="4"/>
  <c r="Q74" i="4"/>
  <c r="E9" i="2" s="1"/>
  <c r="E58" i="2" s="1"/>
  <c r="Q46" i="4"/>
  <c r="D9" i="2" s="1"/>
  <c r="D58" i="2" s="1"/>
  <c r="Q32" i="4"/>
  <c r="C10" i="2" s="1"/>
  <c r="C59" i="2" s="1"/>
  <c r="Q158" i="4"/>
  <c r="H9" i="2" s="1"/>
  <c r="H58" i="2" s="1"/>
  <c r="Q18" i="4"/>
  <c r="C9" i="2" s="1"/>
  <c r="C58" i="2" s="1"/>
  <c r="Q88" i="4"/>
  <c r="E10" i="2" s="1"/>
  <c r="E59" i="2" s="1"/>
  <c r="Q60" i="4"/>
  <c r="D10" i="2" s="1"/>
  <c r="D59" i="2" s="1"/>
  <c r="Q130" i="4"/>
  <c r="G9" i="2" s="1"/>
  <c r="G58" i="2" s="1"/>
  <c r="Q102" i="4"/>
  <c r="F9" i="2" s="1"/>
  <c r="F58" i="2" s="1"/>
  <c r="Q116" i="4"/>
  <c r="F10" i="2" s="1"/>
  <c r="F59" i="2" s="1"/>
  <c r="Q144" i="4"/>
  <c r="G10" i="2" s="1"/>
  <c r="G59" i="2" s="1"/>
  <c r="C57" i="2"/>
  <c r="C19" i="2"/>
  <c r="C38" i="2"/>
  <c r="D98" i="4"/>
  <c r="F98" i="4" s="1"/>
  <c r="I98" i="4"/>
  <c r="J98" i="4" s="1"/>
  <c r="K98" i="4" s="1"/>
  <c r="I155" i="4"/>
  <c r="J155" i="4" s="1"/>
  <c r="K155" i="4" s="1"/>
  <c r="D155" i="4"/>
  <c r="F155" i="4" s="1"/>
  <c r="F18" i="2"/>
  <c r="F56" i="2"/>
  <c r="F37" i="2"/>
  <c r="F38" i="2"/>
  <c r="F19" i="2"/>
  <c r="F57" i="2"/>
  <c r="I113" i="4"/>
  <c r="J113" i="4" s="1"/>
  <c r="K113" i="4" s="1"/>
  <c r="D113" i="4"/>
  <c r="F113" i="4" s="1"/>
  <c r="E85" i="4"/>
  <c r="D57" i="4"/>
  <c r="F57" i="4" s="1"/>
  <c r="I57" i="4"/>
  <c r="J57" i="4" s="1"/>
  <c r="K57" i="4" s="1"/>
  <c r="E38" i="2"/>
  <c r="E19" i="2"/>
  <c r="E57" i="2"/>
  <c r="E61" i="2" s="1"/>
  <c r="G38" i="2"/>
  <c r="G19" i="2"/>
  <c r="G57" i="2"/>
  <c r="C18" i="2"/>
  <c r="C37" i="2"/>
  <c r="C56" i="2"/>
  <c r="G37" i="2"/>
  <c r="G18" i="2"/>
  <c r="G56" i="2"/>
  <c r="E56" i="2"/>
  <c r="E37" i="2"/>
  <c r="E18" i="2"/>
  <c r="D38" i="2"/>
  <c r="D57" i="2"/>
  <c r="D19" i="2"/>
  <c r="I169" i="4"/>
  <c r="J169" i="4" s="1"/>
  <c r="K169" i="4" s="1"/>
  <c r="D169" i="4"/>
  <c r="F169" i="4" s="1"/>
  <c r="N172" i="4"/>
  <c r="P172" i="4" s="1"/>
  <c r="H6" i="2" s="1"/>
  <c r="D71" i="4"/>
  <c r="F71" i="4" s="1"/>
  <c r="I71" i="4"/>
  <c r="J71" i="4" s="1"/>
  <c r="K71" i="4" s="1"/>
  <c r="B29" i="4"/>
  <c r="N158" i="4" s="1"/>
  <c r="P158" i="4" s="1"/>
  <c r="H5" i="2" s="1"/>
  <c r="H12" i="2" s="1"/>
  <c r="F61" i="2" l="1"/>
  <c r="G61" i="2"/>
  <c r="E60" i="2"/>
  <c r="F60" i="2"/>
  <c r="E12" i="2"/>
  <c r="E77" i="2" s="1"/>
  <c r="C61" i="2"/>
  <c r="C12" i="2"/>
  <c r="C77" i="2" s="1"/>
  <c r="G12" i="2"/>
  <c r="G77" i="2" s="1"/>
  <c r="G60" i="2"/>
  <c r="C60" i="2"/>
  <c r="F5" i="1" s="1"/>
  <c r="D61" i="2"/>
  <c r="F12" i="2"/>
  <c r="F77" i="2" s="1"/>
  <c r="D18" i="2"/>
  <c r="D56" i="2"/>
  <c r="D60" i="2" s="1"/>
  <c r="D37" i="2"/>
  <c r="B99" i="4"/>
  <c r="G99" i="4"/>
  <c r="H99" i="4"/>
  <c r="G23" i="2"/>
  <c r="G40" i="2" s="1"/>
  <c r="G42" i="2" s="1"/>
  <c r="F23" i="2"/>
  <c r="F40" i="2" s="1"/>
  <c r="F42" i="2" s="1"/>
  <c r="F64" i="2" s="1"/>
  <c r="D23" i="2"/>
  <c r="D40" i="2" s="1"/>
  <c r="D42" i="2" s="1"/>
  <c r="D77" i="2"/>
  <c r="H22" i="2"/>
  <c r="H39" i="2" s="1"/>
  <c r="D11" i="2"/>
  <c r="D22" i="2"/>
  <c r="D39" i="2" s="1"/>
  <c r="F22" i="2"/>
  <c r="F39" i="2" s="1"/>
  <c r="F41" i="2" s="1"/>
  <c r="F11" i="2"/>
  <c r="G22" i="2"/>
  <c r="G39" i="2" s="1"/>
  <c r="G41" i="2" s="1"/>
  <c r="G11" i="2"/>
  <c r="E23" i="2"/>
  <c r="E40" i="2" s="1"/>
  <c r="E42" i="2" s="1"/>
  <c r="E64" i="2" s="1"/>
  <c r="C11" i="2"/>
  <c r="C22" i="2"/>
  <c r="C39" i="2" s="1"/>
  <c r="C41" i="2" s="1"/>
  <c r="C23" i="2"/>
  <c r="C40" i="2" s="1"/>
  <c r="C42" i="2" s="1"/>
  <c r="E22" i="2"/>
  <c r="E39" i="2" s="1"/>
  <c r="E41" i="2" s="1"/>
  <c r="E11" i="2"/>
  <c r="H57" i="2"/>
  <c r="H61" i="2" s="1"/>
  <c r="H77" i="2"/>
  <c r="H38" i="2"/>
  <c r="H42" i="2" s="1"/>
  <c r="H19" i="2"/>
  <c r="H56" i="2"/>
  <c r="H60" i="2" s="1"/>
  <c r="H37" i="2"/>
  <c r="H18" i="2"/>
  <c r="H11" i="2"/>
  <c r="I85" i="4"/>
  <c r="J85" i="4" s="1"/>
  <c r="K85" i="4" s="1"/>
  <c r="D85" i="4"/>
  <c r="F85" i="4" s="1"/>
  <c r="E99" i="4"/>
  <c r="D43" i="4"/>
  <c r="I43" i="4"/>
  <c r="E63" i="2" l="1"/>
  <c r="H4" i="1"/>
  <c r="F4" i="1"/>
  <c r="I4" i="1"/>
  <c r="J4" i="1"/>
  <c r="F63" i="2"/>
  <c r="D64" i="2"/>
  <c r="E25" i="2"/>
  <c r="E28" i="2" s="1"/>
  <c r="E79" i="2" s="1"/>
  <c r="G63" i="2"/>
  <c r="G24" i="2"/>
  <c r="G27" i="2" s="1"/>
  <c r="G25" i="2"/>
  <c r="C64" i="2"/>
  <c r="F25" i="2"/>
  <c r="F28" i="2" s="1"/>
  <c r="F79" i="2" s="1"/>
  <c r="D25" i="2"/>
  <c r="D28" i="2" s="1"/>
  <c r="D79" i="2" s="1"/>
  <c r="H67" i="2"/>
  <c r="D41" i="2"/>
  <c r="G64" i="2"/>
  <c r="G67" i="2"/>
  <c r="E24" i="2"/>
  <c r="E27" i="2" s="1"/>
  <c r="C67" i="2"/>
  <c r="H41" i="2"/>
  <c r="F67" i="2"/>
  <c r="F66" i="2"/>
  <c r="D67" i="2"/>
  <c r="C24" i="2"/>
  <c r="C27" i="2" s="1"/>
  <c r="F24" i="2"/>
  <c r="F27" i="2" s="1"/>
  <c r="E7" i="5" s="1"/>
  <c r="D24" i="2"/>
  <c r="D27" i="2" s="1"/>
  <c r="C7" i="5" s="1"/>
  <c r="H24" i="2"/>
  <c r="H27" i="2" s="1"/>
  <c r="H25" i="2"/>
  <c r="H28" i="2" s="1"/>
  <c r="H79" i="2" s="1"/>
  <c r="C66" i="2"/>
  <c r="G66" i="2"/>
  <c r="C25" i="2"/>
  <c r="C28" i="2" s="1"/>
  <c r="C79" i="2" s="1"/>
  <c r="H64" i="2"/>
  <c r="E66" i="2"/>
  <c r="E67" i="2"/>
  <c r="G28" i="2"/>
  <c r="G79" i="2" s="1"/>
  <c r="G76" i="2"/>
  <c r="F5" i="5"/>
  <c r="F4" i="5"/>
  <c r="H76" i="2"/>
  <c r="G4" i="5"/>
  <c r="G5" i="5"/>
  <c r="E76" i="2"/>
  <c r="D5" i="5"/>
  <c r="D4" i="5"/>
  <c r="F76" i="2"/>
  <c r="E5" i="5"/>
  <c r="E4" i="5"/>
  <c r="D76" i="2"/>
  <c r="C4" i="5"/>
  <c r="C5" i="5"/>
  <c r="C76" i="2"/>
  <c r="B4" i="5"/>
  <c r="B5" i="5"/>
  <c r="J5" i="1"/>
  <c r="H5" i="1"/>
  <c r="C63" i="2"/>
  <c r="F6" i="1"/>
  <c r="F9" i="1" s="1"/>
  <c r="F19" i="1" s="1"/>
  <c r="B8" i="5" s="1"/>
  <c r="I99" i="4"/>
  <c r="J99" i="4" s="1"/>
  <c r="K99" i="4" s="1"/>
  <c r="D99" i="4"/>
  <c r="F99" i="4" s="1"/>
  <c r="G5" i="1"/>
  <c r="I5" i="1"/>
  <c r="E29" i="4"/>
  <c r="J43" i="4"/>
  <c r="K43" i="4" s="1"/>
  <c r="E43" i="4"/>
  <c r="F43" i="4" s="1"/>
  <c r="I29" i="4"/>
  <c r="J29" i="4" s="1"/>
  <c r="K29" i="4" s="1"/>
  <c r="D29" i="4"/>
  <c r="D7" i="5" l="1"/>
  <c r="F7" i="5"/>
  <c r="G7" i="5"/>
  <c r="D63" i="2"/>
  <c r="G4" i="1"/>
  <c r="G6" i="1" s="1"/>
  <c r="G9" i="1" s="1"/>
  <c r="G19" i="1" s="1"/>
  <c r="C8" i="5" s="1"/>
  <c r="H63" i="2"/>
  <c r="K4" i="1"/>
  <c r="D66" i="2"/>
  <c r="H66" i="2"/>
  <c r="D78" i="2"/>
  <c r="C3" i="5"/>
  <c r="G78" i="2"/>
  <c r="F3" i="5"/>
  <c r="E78" i="2"/>
  <c r="D3" i="5"/>
  <c r="F78" i="2"/>
  <c r="E3" i="5"/>
  <c r="C78" i="2"/>
  <c r="B3" i="5"/>
  <c r="H78" i="2"/>
  <c r="G3" i="5"/>
  <c r="J6" i="1"/>
  <c r="J9" i="1" s="1"/>
  <c r="J19" i="1" s="1"/>
  <c r="F8" i="5" s="1"/>
  <c r="H6" i="1"/>
  <c r="H9" i="1" s="1"/>
  <c r="H19" i="1" s="1"/>
  <c r="D8" i="5" s="1"/>
  <c r="K5" i="1"/>
  <c r="I6" i="1"/>
  <c r="I9" i="1" s="1"/>
  <c r="I19" i="1" s="1"/>
  <c r="E8" i="5" s="1"/>
  <c r="F29" i="4"/>
  <c r="K6" i="1" l="1"/>
  <c r="K9" i="1" s="1"/>
  <c r="K19" i="1" s="1"/>
  <c r="G8" i="5" s="1"/>
</calcChain>
</file>

<file path=xl/sharedStrings.xml><?xml version="1.0" encoding="utf-8"?>
<sst xmlns="http://schemas.openxmlformats.org/spreadsheetml/2006/main" count="469" uniqueCount="190">
  <si>
    <t>Planning Variables</t>
  </si>
  <si>
    <t>Inflation Rate</t>
  </si>
  <si>
    <t>Income Statement</t>
  </si>
  <si>
    <t>Gifts</t>
  </si>
  <si>
    <t>Miscellaneous</t>
  </si>
  <si>
    <t>Base year, Fall</t>
  </si>
  <si>
    <t>Instruction</t>
  </si>
  <si>
    <t>Academic Support</t>
  </si>
  <si>
    <t>Student Affairs</t>
  </si>
  <si>
    <t>Administrative Support</t>
  </si>
  <si>
    <t>Plant Operations</t>
  </si>
  <si>
    <t>Fall to Fall New Student Rate Change</t>
  </si>
  <si>
    <t>Tuition, gross</t>
  </si>
  <si>
    <t>Tuition discounts</t>
  </si>
  <si>
    <t>Tuition, net</t>
  </si>
  <si>
    <t>Initial Faculty Count</t>
  </si>
  <si>
    <t>Initial Staff Count</t>
  </si>
  <si>
    <t>Initial Average Faculty Salary</t>
  </si>
  <si>
    <t>Faculty Benefit Rate</t>
  </si>
  <si>
    <t>Initial Average Staff Salary</t>
  </si>
  <si>
    <t>Staff Benefit Rate</t>
  </si>
  <si>
    <t>Initial Non-personnel</t>
  </si>
  <si>
    <t>Benefits</t>
  </si>
  <si>
    <t>Nonpersonnel</t>
  </si>
  <si>
    <t>Faculty Count</t>
  </si>
  <si>
    <t>Staff Count</t>
  </si>
  <si>
    <t>Average Salary, Faculty</t>
  </si>
  <si>
    <t>Average Salary, Staff</t>
  </si>
  <si>
    <t>Added Staff</t>
  </si>
  <si>
    <t>Inflation</t>
  </si>
  <si>
    <t>Total Expense</t>
  </si>
  <si>
    <t xml:space="preserve">Total Revenue       </t>
  </si>
  <si>
    <t xml:space="preserve">Total Expenses           </t>
  </si>
  <si>
    <t>Net Asset Change</t>
  </si>
  <si>
    <t>Growth of Incoming Class</t>
  </si>
  <si>
    <t>Tuition Rate Change</t>
  </si>
  <si>
    <t>Added Persons/Year</t>
  </si>
  <si>
    <t>Full-time Faculty Change</t>
  </si>
  <si>
    <t>Full-time Staff Change</t>
  </si>
  <si>
    <t>As % of Salaries</t>
  </si>
  <si>
    <t>Growth of % of Salaries</t>
  </si>
  <si>
    <t>Nonpersonnel Expense Rate Change</t>
  </si>
  <si>
    <t>Faculty</t>
  </si>
  <si>
    <t>Instructional Staff</t>
  </si>
  <si>
    <t>% Change above Inflation</t>
  </si>
  <si>
    <t>Conversions</t>
  </si>
  <si>
    <t>Fa-Sp %</t>
  </si>
  <si>
    <t>Credit Loads</t>
  </si>
  <si>
    <t>Part-time</t>
  </si>
  <si>
    <t>Average</t>
  </si>
  <si>
    <t>Academic FTE</t>
  </si>
  <si>
    <t>Gross Tuition Revenue</t>
  </si>
  <si>
    <t>"What if" Variables</t>
  </si>
  <si>
    <t>Median Unfunded Scholarship, % of Tuition</t>
  </si>
  <si>
    <t>Annual</t>
  </si>
  <si>
    <t>Annual Rate of Change</t>
  </si>
  <si>
    <t>Proportion of Students on Scholarship</t>
  </si>
  <si>
    <t>% of Students on Scholarship</t>
  </si>
  <si>
    <t>Unfunded Scholarship Expense</t>
  </si>
  <si>
    <t>Growth of Gifts</t>
  </si>
  <si>
    <t>Growth of Miscellaneous Revenue</t>
  </si>
  <si>
    <t>Added Faculty Annually</t>
  </si>
  <si>
    <t>Full-Time</t>
  </si>
  <si>
    <t>Part-Time</t>
  </si>
  <si>
    <t>Full-time Benefit Rate</t>
  </si>
  <si>
    <t>Part-time Benefit Rate</t>
  </si>
  <si>
    <t>Part-time Faculty Change</t>
  </si>
  <si>
    <t>Part-time Staff Change</t>
  </si>
  <si>
    <t>Full-time Faculty Salary Rate Change</t>
  </si>
  <si>
    <t>Part-time Faculty Salary Rate Change</t>
  </si>
  <si>
    <t>Full-time Staff Salary Rate Change</t>
  </si>
  <si>
    <t>Part-time Staff Salary Rate Change</t>
  </si>
  <si>
    <t>Salary Expense</t>
  </si>
  <si>
    <t>Benefit Rate, % of Salaries</t>
  </si>
  <si>
    <t>Full-time Benefit Rate Change</t>
  </si>
  <si>
    <t>Part-time Benefit Rate Change</t>
  </si>
  <si>
    <t xml:space="preserve"> Expenses</t>
  </si>
  <si>
    <t>Nonpersonnel "Bumps"</t>
  </si>
  <si>
    <t>Faculty "Bumps"</t>
  </si>
  <si>
    <t>Staff "Bumps"</t>
  </si>
  <si>
    <t>Gift "Bumps"</t>
  </si>
  <si>
    <t>Miscellaneous Income "Bumps"</t>
  </si>
  <si>
    <t>New student growth:</t>
  </si>
  <si>
    <t>Grad</t>
  </si>
  <si>
    <t>FT Enrollment</t>
  </si>
  <si>
    <t>PT Enrollment</t>
  </si>
  <si>
    <t>DO Cum</t>
  </si>
  <si>
    <t>Grad Cum</t>
  </si>
  <si>
    <t>FT to Grad</t>
  </si>
  <si>
    <t>PT to Grad</t>
  </si>
  <si>
    <t>FT to PT end</t>
  </si>
  <si>
    <t>PT to FT end</t>
  </si>
  <si>
    <t>FT to DO end</t>
  </si>
  <si>
    <t>PT to DO end</t>
  </si>
  <si>
    <t>PT DO end</t>
  </si>
  <si>
    <t>FT DO end</t>
  </si>
  <si>
    <t>DI to FT end</t>
  </si>
  <si>
    <t>DI to PT end</t>
  </si>
  <si>
    <t>Grad Rate</t>
  </si>
  <si>
    <t>Semester</t>
  </si>
  <si>
    <t xml:space="preserve"> </t>
  </si>
  <si>
    <t>Semester After 1st Attend</t>
  </si>
  <si>
    <t>FT</t>
  </si>
  <si>
    <t>PT</t>
  </si>
  <si>
    <t>Second semester</t>
  </si>
  <si>
    <t>Third semester</t>
  </si>
  <si>
    <t>Fourth semester</t>
  </si>
  <si>
    <t>Fifth semester</t>
  </si>
  <si>
    <t>Original Continuing Students</t>
  </si>
  <si>
    <t>Sixth semester</t>
  </si>
  <si>
    <t>Seventh semester</t>
  </si>
  <si>
    <t>Eighth semester</t>
  </si>
  <si>
    <t>Ninth semester</t>
  </si>
  <si>
    <t>Tenth semester</t>
  </si>
  <si>
    <t>Eleventh semester</t>
  </si>
  <si>
    <t>Remaining from original continuing</t>
  </si>
  <si>
    <t>Twelth semester</t>
  </si>
  <si>
    <t>11-12  semester</t>
  </si>
  <si>
    <t>12th semester</t>
  </si>
  <si>
    <t>Original continuing</t>
  </si>
  <si>
    <t>Total Continuing</t>
  </si>
  <si>
    <t>Previous recurring new</t>
  </si>
  <si>
    <t>Headcount students/Headcount faculty</t>
  </si>
  <si>
    <t>Headcount faculty</t>
  </si>
  <si>
    <t>Ave. PT Faculty FTE</t>
  </si>
  <si>
    <t>FTE Teaching Faculty</t>
  </si>
  <si>
    <t>Student academic FTE/Teaching faculty FTE</t>
  </si>
  <si>
    <t>Year ending</t>
  </si>
  <si>
    <t>Foggy Mountain College</t>
  </si>
  <si>
    <t>Annual, above Inflation</t>
  </si>
  <si>
    <t>One-time added gift in 2023</t>
  </si>
  <si>
    <t>First semester full-time student drop out rate</t>
  </si>
  <si>
    <t>DI Cum to FT end</t>
  </si>
  <si>
    <t>DI Cum to PT end</t>
  </si>
  <si>
    <t>2-12 semesters</t>
  </si>
  <si>
    <t>3-12 semesters</t>
  </si>
  <si>
    <t>4-12 semesters</t>
  </si>
  <si>
    <t>5-12 semesters</t>
  </si>
  <si>
    <t>6-12 semesters</t>
  </si>
  <si>
    <t>7-12 semesters</t>
  </si>
  <si>
    <t>8-12 semesters</t>
  </si>
  <si>
    <t>9-12 semesters</t>
  </si>
  <si>
    <t>10-12 semesters</t>
  </si>
  <si>
    <r>
      <t xml:space="preserve"> </t>
    </r>
    <r>
      <rPr>
        <b/>
        <u/>
        <sz val="11"/>
        <color theme="1"/>
        <rFont val="Calibri"/>
        <family val="2"/>
        <scheme val="minor"/>
      </rPr>
      <t>Revenue</t>
    </r>
    <r>
      <rPr>
        <b/>
        <sz val="11"/>
        <color theme="1"/>
        <rFont val="Calibri"/>
        <family val="2"/>
        <scheme val="minor"/>
      </rPr>
      <t xml:space="preserve">     Year Ending:</t>
    </r>
  </si>
  <si>
    <t>Growth of Median Scholarship</t>
  </si>
  <si>
    <t>Growth of % of Students on Scholarship</t>
  </si>
  <si>
    <t>Annual, as % of tuition</t>
  </si>
  <si>
    <t>Year Ending:</t>
  </si>
  <si>
    <t>Fall Student FTE/Faculty FTE</t>
  </si>
  <si>
    <t>Fall Students (heads)/FT Faculty</t>
  </si>
  <si>
    <t>Fall Students (heads)/FT Staff</t>
  </si>
  <si>
    <t>FT Faculty/FT Staff</t>
  </si>
  <si>
    <t>Expenses/Student FTE</t>
  </si>
  <si>
    <t>Net Asset Change/Revenues</t>
  </si>
  <si>
    <t>Average, assumed numbers of new full-time students recurring in all previous new student cohorts</t>
  </si>
  <si>
    <t>Average, assumed numbers of new part-time students recurring in all previous new student cohorts</t>
  </si>
  <si>
    <t>Year ending:</t>
  </si>
  <si>
    <t>New students, Full-time, fall</t>
  </si>
  <si>
    <t>New students, Full-time, spring</t>
  </si>
  <si>
    <t>Continuing students, Full-time, fall</t>
  </si>
  <si>
    <t>Continuing students, Full-time, spring</t>
  </si>
  <si>
    <t>New students, Part-time, fall</t>
  </si>
  <si>
    <t>New students, Part-time, spring</t>
  </si>
  <si>
    <t>Continuing students, Part-time, fall</t>
  </si>
  <si>
    <t>Continuing students, Part-time, spring</t>
  </si>
  <si>
    <t>Headcount Total, fall</t>
  </si>
  <si>
    <t>Headcount Total, spring</t>
  </si>
  <si>
    <t>Total, fall</t>
  </si>
  <si>
    <t>Total, spring</t>
  </si>
  <si>
    <t>Academic FTE, fall</t>
  </si>
  <si>
    <t>Academic FTE, spring</t>
  </si>
  <si>
    <t>Tuition Rates/semester</t>
  </si>
  <si>
    <t>Full-time, per headcount, fall</t>
  </si>
  <si>
    <t>Full-time, per headcount, spring</t>
  </si>
  <si>
    <t>Part-time per credit, fall</t>
  </si>
  <si>
    <t>Part-time per credit, spring</t>
  </si>
  <si>
    <t>Full-time, fall</t>
  </si>
  <si>
    <t>Full-time, spring</t>
  </si>
  <si>
    <t>Part-time, fall</t>
  </si>
  <si>
    <t>Part-time, spring</t>
  </si>
  <si>
    <t>Full-time Students, fall</t>
  </si>
  <si>
    <t>Full-time Students, spring</t>
  </si>
  <si>
    <t>Part-time Students, fall</t>
  </si>
  <si>
    <t>Part-time Students, spring</t>
  </si>
  <si>
    <t>Net Tuition Revenue, fall</t>
  </si>
  <si>
    <t>Net Tuition Revenue, spring</t>
  </si>
  <si>
    <t>Discount Rate, fall</t>
  </si>
  <si>
    <t>Discount Rate, spring</t>
  </si>
  <si>
    <t>Fall</t>
  </si>
  <si>
    <t>Spring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</si>
</sst>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1">
    <xf numFmtId="0" fontId="0" fillId="0" borderId="0" xfId="0"/>
    <xf numFmtId="164" fontId="0" fillId="3" borderId="2" xfId="1" applyNumberFormat="1" applyFont="1" applyFill="1" applyBorder="1"/>
    <xf numFmtId="0" fontId="0" fillId="3" borderId="2" xfId="0" applyFill="1" applyBorder="1"/>
    <xf numFmtId="164" fontId="0" fillId="4" borderId="0" xfId="1" applyNumberFormat="1" applyFont="1" applyFill="1"/>
    <xf numFmtId="164" fontId="0" fillId="4" borderId="1" xfId="1" applyNumberFormat="1" applyFont="1" applyFill="1" applyBorder="1"/>
    <xf numFmtId="164" fontId="0" fillId="4" borderId="0" xfId="0" applyNumberFormat="1" applyFill="1"/>
    <xf numFmtId="0" fontId="2" fillId="4" borderId="0" xfId="0" applyFont="1" applyFill="1" applyAlignment="1">
      <alignment horizontal="center"/>
    </xf>
    <xf numFmtId="0" fontId="0" fillId="5" borderId="0" xfId="0" applyFill="1"/>
    <xf numFmtId="0" fontId="2" fillId="5" borderId="0" xfId="0" applyFont="1" applyFill="1"/>
    <xf numFmtId="0" fontId="0" fillId="5" borderId="0" xfId="0" applyFill="1" applyAlignment="1">
      <alignment horizontal="right"/>
    </xf>
    <xf numFmtId="0" fontId="2" fillId="5" borderId="0" xfId="0" applyFont="1" applyFill="1" applyAlignment="1">
      <alignment horizontal="right"/>
    </xf>
    <xf numFmtId="0" fontId="2" fillId="5" borderId="0" xfId="0" applyFont="1" applyFill="1" applyAlignment="1">
      <alignment horizontal="center"/>
    </xf>
    <xf numFmtId="0" fontId="0" fillId="6" borderId="0" xfId="0" applyFill="1"/>
    <xf numFmtId="9" fontId="0" fillId="6" borderId="0" xfId="2" applyFont="1" applyFill="1"/>
    <xf numFmtId="9" fontId="0" fillId="4" borderId="0" xfId="2" applyFont="1" applyFill="1"/>
    <xf numFmtId="164" fontId="0" fillId="6" borderId="0" xfId="0" applyNumberFormat="1" applyFill="1"/>
    <xf numFmtId="9" fontId="0" fillId="4" borderId="0" xfId="0" applyNumberFormat="1" applyFill="1"/>
    <xf numFmtId="164" fontId="0" fillId="4" borderId="0" xfId="0" applyNumberFormat="1" applyFill="1" applyBorder="1"/>
    <xf numFmtId="164" fontId="0" fillId="4" borderId="1" xfId="0" applyNumberFormat="1" applyFill="1" applyBorder="1"/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center" wrapText="1"/>
    </xf>
    <xf numFmtId="164" fontId="0" fillId="4" borderId="0" xfId="1" applyNumberFormat="1" applyFont="1" applyFill="1" applyBorder="1"/>
    <xf numFmtId="164" fontId="0" fillId="6" borderId="0" xfId="1" applyNumberFormat="1" applyFont="1" applyFill="1" applyBorder="1"/>
    <xf numFmtId="9" fontId="0" fillId="6" borderId="0" xfId="2" applyFont="1" applyFill="1" applyBorder="1"/>
    <xf numFmtId="165" fontId="0" fillId="6" borderId="0" xfId="0" applyNumberFormat="1" applyFill="1"/>
    <xf numFmtId="164" fontId="0" fillId="3" borderId="2" xfId="0" applyNumberFormat="1" applyFill="1" applyBorder="1"/>
    <xf numFmtId="164" fontId="0" fillId="6" borderId="0" xfId="0" applyNumberFormat="1" applyFill="1" applyBorder="1"/>
    <xf numFmtId="0" fontId="0" fillId="6" borderId="0" xfId="0" applyFill="1" applyBorder="1"/>
    <xf numFmtId="0" fontId="0" fillId="0" borderId="0" xfId="0" applyBorder="1"/>
    <xf numFmtId="166" fontId="0" fillId="3" borderId="2" xfId="2" applyNumberFormat="1" applyFont="1" applyFill="1" applyBorder="1"/>
    <xf numFmtId="166" fontId="0" fillId="4" borderId="0" xfId="2" applyNumberFormat="1" applyFont="1" applyFill="1"/>
    <xf numFmtId="166" fontId="0" fillId="4" borderId="0" xfId="0" applyNumberFormat="1" applyFill="1"/>
    <xf numFmtId="164" fontId="0" fillId="4" borderId="0" xfId="2" applyNumberFormat="1" applyFont="1" applyFill="1" applyBorder="1"/>
    <xf numFmtId="0" fontId="2" fillId="6" borderId="0" xfId="0" applyFont="1" applyFill="1" applyAlignment="1">
      <alignment horizontal="center"/>
    </xf>
    <xf numFmtId="0" fontId="0" fillId="3" borderId="4" xfId="0" applyFill="1" applyBorder="1"/>
    <xf numFmtId="0" fontId="0" fillId="3" borderId="8" xfId="0" applyFill="1" applyBorder="1"/>
    <xf numFmtId="164" fontId="0" fillId="3" borderId="9" xfId="1" applyNumberFormat="1" applyFont="1" applyFill="1" applyBorder="1"/>
    <xf numFmtId="0" fontId="0" fillId="6" borderId="10" xfId="0" applyFill="1" applyBorder="1"/>
    <xf numFmtId="0" fontId="0" fillId="6" borderId="11" xfId="0" applyFill="1" applyBorder="1"/>
    <xf numFmtId="0" fontId="0" fillId="3" borderId="13" xfId="0" applyFill="1" applyBorder="1"/>
    <xf numFmtId="0" fontId="0" fillId="5" borderId="0" xfId="0" applyFont="1" applyFill="1" applyAlignment="1">
      <alignment horizontal="right"/>
    </xf>
    <xf numFmtId="0" fontId="2" fillId="5" borderId="10" xfId="0" applyFont="1" applyFill="1" applyBorder="1" applyAlignment="1">
      <alignment horizontal="center" wrapText="1"/>
    </xf>
    <xf numFmtId="0" fontId="2" fillId="5" borderId="0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0" fontId="0" fillId="4" borderId="0" xfId="0" applyFill="1" applyBorder="1"/>
    <xf numFmtId="0" fontId="0" fillId="6" borderId="5" xfId="0" applyFill="1" applyBorder="1"/>
    <xf numFmtId="0" fontId="0" fillId="6" borderId="6" xfId="0" applyFill="1" applyBorder="1"/>
    <xf numFmtId="0" fontId="2" fillId="5" borderId="7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4" borderId="10" xfId="0" applyFill="1" applyBorder="1"/>
    <xf numFmtId="0" fontId="0" fillId="2" borderId="14" xfId="0" applyFill="1" applyBorder="1"/>
    <xf numFmtId="0" fontId="0" fillId="3" borderId="9" xfId="0" applyFill="1" applyBorder="1"/>
    <xf numFmtId="0" fontId="2" fillId="6" borderId="1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6" borderId="14" xfId="0" applyFont="1" applyFill="1" applyBorder="1"/>
    <xf numFmtId="0" fontId="2" fillId="5" borderId="14" xfId="0" applyFont="1" applyFill="1" applyBorder="1"/>
    <xf numFmtId="0" fontId="0" fillId="6" borderId="14" xfId="0" applyFill="1" applyBorder="1"/>
    <xf numFmtId="0" fontId="0" fillId="6" borderId="16" xfId="0" applyFill="1" applyBorder="1"/>
    <xf numFmtId="43" fontId="0" fillId="6" borderId="6" xfId="1" applyFont="1" applyFill="1" applyBorder="1"/>
    <xf numFmtId="164" fontId="0" fillId="6" borderId="0" xfId="1" applyNumberFormat="1" applyFont="1" applyFill="1"/>
    <xf numFmtId="0" fontId="0" fillId="6" borderId="7" xfId="0" applyFill="1" applyBorder="1"/>
    <xf numFmtId="0" fontId="2" fillId="5" borderId="10" xfId="0" applyFont="1" applyFill="1" applyBorder="1" applyAlignment="1">
      <alignment horizontal="right"/>
    </xf>
    <xf numFmtId="164" fontId="0" fillId="4" borderId="14" xfId="1" applyNumberFormat="1" applyFont="1" applyFill="1" applyBorder="1"/>
    <xf numFmtId="164" fontId="0" fillId="4" borderId="17" xfId="1" applyNumberFormat="1" applyFont="1" applyFill="1" applyBorder="1"/>
    <xf numFmtId="164" fontId="0" fillId="4" borderId="14" xfId="0" applyNumberFormat="1" applyFill="1" applyBorder="1"/>
    <xf numFmtId="0" fontId="3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164" fontId="0" fillId="4" borderId="12" xfId="0" applyNumberFormat="1" applyFill="1" applyBorder="1"/>
    <xf numFmtId="164" fontId="0" fillId="4" borderId="16" xfId="0" applyNumberFormat="1" applyFill="1" applyBorder="1"/>
    <xf numFmtId="0" fontId="2" fillId="4" borderId="0" xfId="0" applyFont="1" applyFill="1" applyAlignment="1">
      <alignment horizontal="right"/>
    </xf>
    <xf numFmtId="164" fontId="0" fillId="5" borderId="0" xfId="0" applyNumberFormat="1" applyFill="1"/>
    <xf numFmtId="0" fontId="2" fillId="6" borderId="0" xfId="0" applyFont="1" applyFill="1"/>
    <xf numFmtId="0" fontId="0" fillId="5" borderId="6" xfId="0" applyFill="1" applyBorder="1"/>
    <xf numFmtId="0" fontId="0" fillId="5" borderId="5" xfId="0" applyFill="1" applyBorder="1"/>
    <xf numFmtId="0" fontId="2" fillId="6" borderId="14" xfId="0" applyFont="1" applyFill="1" applyBorder="1" applyAlignment="1">
      <alignment horizontal="left"/>
    </xf>
    <xf numFmtId="0" fontId="0" fillId="6" borderId="5" xfId="0" applyFill="1" applyBorder="1" applyAlignment="1"/>
    <xf numFmtId="0" fontId="0" fillId="6" borderId="6" xfId="0" applyFill="1" applyBorder="1" applyAlignment="1"/>
    <xf numFmtId="0" fontId="0" fillId="6" borderId="7" xfId="0" applyFill="1" applyBorder="1" applyAlignment="1"/>
    <xf numFmtId="0" fontId="0" fillId="6" borderId="0" xfId="0" applyFill="1" applyAlignment="1">
      <alignment horizontal="right"/>
    </xf>
    <xf numFmtId="164" fontId="0" fillId="3" borderId="18" xfId="1" applyNumberFormat="1" applyFont="1" applyFill="1" applyBorder="1"/>
    <xf numFmtId="0" fontId="0" fillId="3" borderId="19" xfId="0" applyFill="1" applyBorder="1"/>
    <xf numFmtId="164" fontId="0" fillId="3" borderId="19" xfId="1" applyNumberFormat="1" applyFont="1" applyFill="1" applyBorder="1"/>
    <xf numFmtId="0" fontId="2" fillId="6" borderId="7" xfId="0" applyFont="1" applyFill="1" applyBorder="1" applyAlignment="1">
      <alignment horizontal="center"/>
    </xf>
    <xf numFmtId="164" fontId="0" fillId="4" borderId="10" xfId="1" applyNumberFormat="1" applyFont="1" applyFill="1" applyBorder="1"/>
    <xf numFmtId="164" fontId="0" fillId="4" borderId="15" xfId="1" applyNumberFormat="1" applyFont="1" applyFill="1" applyBorder="1"/>
    <xf numFmtId="164" fontId="0" fillId="4" borderId="11" xfId="1" applyNumberFormat="1" applyFont="1" applyFill="1" applyBorder="1"/>
    <xf numFmtId="164" fontId="0" fillId="4" borderId="12" xfId="1" applyNumberFormat="1" applyFont="1" applyFill="1" applyBorder="1"/>
    <xf numFmtId="164" fontId="2" fillId="5" borderId="0" xfId="0" applyNumberFormat="1" applyFont="1" applyFill="1" applyAlignment="1">
      <alignment horizontal="left"/>
    </xf>
    <xf numFmtId="0" fontId="0" fillId="4" borderId="0" xfId="0" applyFill="1"/>
    <xf numFmtId="0" fontId="2" fillId="4" borderId="0" xfId="0" applyFont="1" applyFill="1" applyAlignment="1">
      <alignment horizontal="left"/>
    </xf>
    <xf numFmtId="0" fontId="2" fillId="4" borderId="0" xfId="2" applyNumberFormat="1" applyFont="1" applyFill="1" applyAlignment="1">
      <alignment horizontal="center"/>
    </xf>
    <xf numFmtId="166" fontId="0" fillId="6" borderId="0" xfId="2" applyNumberFormat="1" applyFont="1" applyFill="1"/>
    <xf numFmtId="164" fontId="0" fillId="2" borderId="0" xfId="1" applyNumberFormat="1" applyFont="1" applyFill="1" applyBorder="1"/>
    <xf numFmtId="0" fontId="0" fillId="0" borderId="0" xfId="0" applyAlignment="1">
      <alignment horizontal="right"/>
    </xf>
    <xf numFmtId="164" fontId="0" fillId="2" borderId="1" xfId="1" applyNumberFormat="1" applyFont="1" applyFill="1" applyBorder="1"/>
    <xf numFmtId="0" fontId="0" fillId="7" borderId="0" xfId="0" applyFill="1"/>
    <xf numFmtId="0" fontId="2" fillId="7" borderId="0" xfId="0" applyFont="1" applyFill="1" applyAlignment="1">
      <alignment horizontal="left"/>
    </xf>
    <xf numFmtId="43" fontId="0" fillId="4" borderId="0" xfId="0" applyNumberFormat="1" applyFill="1"/>
    <xf numFmtId="164" fontId="2" fillId="5" borderId="0" xfId="1" applyNumberFormat="1" applyFont="1" applyFill="1" applyBorder="1" applyAlignment="1">
      <alignment horizontal="center"/>
    </xf>
    <xf numFmtId="0" fontId="4" fillId="4" borderId="0" xfId="0" applyFont="1" applyFill="1" applyAlignment="1">
      <alignment horizontal="right"/>
    </xf>
    <xf numFmtId="0" fontId="2" fillId="6" borderId="0" xfId="0" applyFont="1" applyFill="1" applyAlignment="1">
      <alignment horizontal="right"/>
    </xf>
    <xf numFmtId="166" fontId="0" fillId="6" borderId="0" xfId="0" applyNumberFormat="1" applyFill="1"/>
    <xf numFmtId="0" fontId="4" fillId="3" borderId="2" xfId="0" applyFont="1" applyFill="1" applyBorder="1" applyAlignment="1">
      <alignment horizontal="right"/>
    </xf>
    <xf numFmtId="164" fontId="0" fillId="2" borderId="2" xfId="1" applyNumberFormat="1" applyFont="1" applyFill="1" applyBorder="1"/>
    <xf numFmtId="164" fontId="0" fillId="4" borderId="2" xfId="1" applyNumberFormat="1" applyFont="1" applyFill="1" applyBorder="1"/>
    <xf numFmtId="166" fontId="0" fillId="2" borderId="2" xfId="2" applyNumberFormat="1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164" fontId="0" fillId="3" borderId="20" xfId="1" applyNumberFormat="1" applyFont="1" applyFill="1" applyBorder="1"/>
    <xf numFmtId="0" fontId="2" fillId="5" borderId="0" xfId="0" applyFont="1" applyFill="1" applyBorder="1" applyAlignment="1">
      <alignment horizontal="right"/>
    </xf>
    <xf numFmtId="166" fontId="0" fillId="2" borderId="0" xfId="2" applyNumberFormat="1" applyFont="1" applyFill="1"/>
    <xf numFmtId="166" fontId="0" fillId="2" borderId="0" xfId="2" applyNumberFormat="1" applyFont="1" applyFill="1" applyBorder="1"/>
    <xf numFmtId="166" fontId="0" fillId="2" borderId="0" xfId="0" applyNumberFormat="1" applyFill="1"/>
    <xf numFmtId="166" fontId="0" fillId="4" borderId="0" xfId="2" applyNumberFormat="1" applyFont="1" applyFill="1" applyBorder="1"/>
    <xf numFmtId="166" fontId="0" fillId="3" borderId="2" xfId="0" applyNumberFormat="1" applyFill="1" applyBorder="1" applyAlignment="1">
      <alignment horizontal="right"/>
    </xf>
    <xf numFmtId="166" fontId="0" fillId="6" borderId="0" xfId="0" applyNumberFormat="1" applyFill="1" applyAlignment="1">
      <alignment horizontal="right"/>
    </xf>
    <xf numFmtId="166" fontId="0" fillId="4" borderId="0" xfId="0" applyNumberFormat="1" applyFill="1" applyAlignment="1">
      <alignment horizontal="right"/>
    </xf>
    <xf numFmtId="166" fontId="0" fillId="2" borderId="3" xfId="2" applyNumberFormat="1" applyFont="1" applyFill="1" applyBorder="1"/>
    <xf numFmtId="0" fontId="6" fillId="5" borderId="0" xfId="0" applyFont="1" applyFill="1" applyAlignment="1">
      <alignment horizontal="right"/>
    </xf>
    <xf numFmtId="166" fontId="0" fillId="2" borderId="0" xfId="0" applyNumberFormat="1" applyFill="1" applyBorder="1"/>
    <xf numFmtId="166" fontId="0" fillId="4" borderId="0" xfId="0" applyNumberFormat="1" applyFill="1" applyBorder="1"/>
    <xf numFmtId="0" fontId="2" fillId="4" borderId="15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1" xfId="0" applyFont="1" applyFill="1" applyBorder="1"/>
    <xf numFmtId="0" fontId="2" fillId="5" borderId="21" xfId="0" applyFont="1" applyFill="1" applyBorder="1" applyAlignment="1">
      <alignment horizontal="center"/>
    </xf>
    <xf numFmtId="0" fontId="2" fillId="4" borderId="1" xfId="0" applyFont="1" applyFill="1" applyBorder="1"/>
    <xf numFmtId="0" fontId="0" fillId="6" borderId="0" xfId="0" applyFont="1" applyFill="1" applyAlignment="1">
      <alignment horizontal="right"/>
    </xf>
    <xf numFmtId="0" fontId="0" fillId="5" borderId="10" xfId="0" applyFill="1" applyBorder="1" applyAlignment="1">
      <alignment horizontal="right"/>
    </xf>
    <xf numFmtId="0" fontId="2" fillId="4" borderId="0" xfId="0" applyFont="1" applyFill="1" applyAlignment="1">
      <alignment horizontal="left" vertical="top"/>
    </xf>
    <xf numFmtId="0" fontId="0" fillId="4" borderId="0" xfId="0" applyFill="1" applyAlignment="1">
      <alignment horizontal="right"/>
    </xf>
    <xf numFmtId="0" fontId="0" fillId="4" borderId="1" xfId="0" applyFill="1" applyBorder="1" applyAlignment="1">
      <alignment horizontal="center"/>
    </xf>
    <xf numFmtId="167" fontId="0" fillId="4" borderId="0" xfId="1" applyNumberFormat="1" applyFont="1" applyFill="1"/>
    <xf numFmtId="165" fontId="0" fillId="4" borderId="0" xfId="3" applyNumberFormat="1" applyFont="1" applyFill="1"/>
    <xf numFmtId="164" fontId="0" fillId="5" borderId="0" xfId="1" applyNumberFormat="1" applyFont="1" applyFill="1" applyBorder="1"/>
    <xf numFmtId="0" fontId="2" fillId="4" borderId="1" xfId="0" applyNumberFormat="1" applyFont="1" applyFill="1" applyBorder="1" applyAlignment="1">
      <alignment horizontal="center"/>
    </xf>
    <xf numFmtId="0" fontId="3" fillId="5" borderId="0" xfId="0" applyFont="1" applyFill="1" applyAlignment="1">
      <alignment horizontal="left"/>
    </xf>
    <xf numFmtId="164" fontId="0" fillId="7" borderId="0" xfId="1" applyNumberFormat="1" applyFont="1" applyFill="1" applyBorder="1"/>
    <xf numFmtId="164" fontId="0" fillId="4" borderId="22" xfId="1" applyNumberFormat="1" applyFont="1" applyFill="1" applyBorder="1"/>
    <xf numFmtId="0" fontId="0" fillId="7" borderId="0" xfId="0" applyFill="1" applyAlignment="1">
      <alignment horizontal="right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4FE6-19B9-4822-88BE-F2157F18F6E9}">
  <dimension ref="A1:M48"/>
  <sheetViews>
    <sheetView tabSelected="1" workbookViewId="0"/>
  </sheetViews>
  <sheetFormatPr defaultRowHeight="15" x14ac:dyDescent="0.25"/>
  <cols>
    <col min="1" max="1" width="41.5703125" customWidth="1"/>
    <col min="2" max="4" width="12" customWidth="1"/>
    <col min="5" max="5" width="23.5703125" customWidth="1"/>
    <col min="6" max="7" width="12" customWidth="1"/>
    <col min="8" max="8" width="11.85546875" customWidth="1"/>
    <col min="9" max="9" width="12" customWidth="1"/>
    <col min="10" max="10" width="12.7109375" customWidth="1"/>
    <col min="11" max="11" width="12" customWidth="1"/>
    <col min="12" max="12" width="12.140625" customWidth="1"/>
    <col min="13" max="13" width="12" customWidth="1"/>
    <col min="15" max="15" width="11.5703125" customWidth="1"/>
  </cols>
  <sheetData>
    <row r="1" spans="1:13" ht="16.5" thickBot="1" x14ac:dyDescent="0.3">
      <c r="A1" s="102" t="s">
        <v>128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5">
      <c r="A2" s="8" t="s">
        <v>0</v>
      </c>
      <c r="B2" s="12"/>
      <c r="C2" s="12"/>
      <c r="D2" s="12"/>
      <c r="E2" s="108" t="s">
        <v>2</v>
      </c>
      <c r="F2" s="46"/>
      <c r="G2" s="46"/>
      <c r="H2" s="46"/>
      <c r="I2" s="46"/>
      <c r="J2" s="46"/>
      <c r="K2" s="60"/>
      <c r="L2" s="12"/>
      <c r="M2" s="12"/>
    </row>
    <row r="3" spans="1:13" x14ac:dyDescent="0.25">
      <c r="A3" s="9" t="s">
        <v>11</v>
      </c>
      <c r="B3" s="29">
        <v>-0.01</v>
      </c>
      <c r="C3" s="7" t="s">
        <v>34</v>
      </c>
      <c r="D3" s="7"/>
      <c r="E3" s="61" t="s">
        <v>143</v>
      </c>
      <c r="F3" s="106">
        <f>B29+1</f>
        <v>2022</v>
      </c>
      <c r="G3" s="106">
        <f>F3+1</f>
        <v>2023</v>
      </c>
      <c r="H3" s="106">
        <f>G3+1</f>
        <v>2024</v>
      </c>
      <c r="I3" s="106">
        <f>H3+1</f>
        <v>2025</v>
      </c>
      <c r="J3" s="106">
        <f>I3+1</f>
        <v>2026</v>
      </c>
      <c r="K3" s="107">
        <f>J3+1</f>
        <v>2027</v>
      </c>
      <c r="L3" s="12"/>
      <c r="M3" s="12"/>
    </row>
    <row r="4" spans="1:13" x14ac:dyDescent="0.25">
      <c r="A4" s="9" t="s">
        <v>35</v>
      </c>
      <c r="B4" s="29">
        <v>0.02</v>
      </c>
      <c r="C4" s="7" t="s">
        <v>129</v>
      </c>
      <c r="D4" s="7"/>
      <c r="E4" s="61" t="s">
        <v>12</v>
      </c>
      <c r="F4" s="21">
        <f>Enrollment!C41+Enrollment!C42</f>
        <v>49517224.118613139</v>
      </c>
      <c r="G4" s="21">
        <f>Enrollment!D41+Enrollment!D42</f>
        <v>46821058.542557657</v>
      </c>
      <c r="H4" s="21">
        <f>Enrollment!E41+Enrollment!E42</f>
        <v>45178634.11241512</v>
      </c>
      <c r="I4" s="21">
        <f>Enrollment!F41+Enrollment!F42</f>
        <v>41586096.258076325</v>
      </c>
      <c r="J4" s="21">
        <f>Enrollment!G41+Enrollment!G42</f>
        <v>41572288.353189133</v>
      </c>
      <c r="K4" s="62">
        <f>Enrollment!H41+Enrollment!H42</f>
        <v>38057713.289676547</v>
      </c>
      <c r="L4" s="12"/>
      <c r="M4" s="12"/>
    </row>
    <row r="5" spans="1:13" x14ac:dyDescent="0.25">
      <c r="A5" s="129" t="s">
        <v>144</v>
      </c>
      <c r="B5" s="29">
        <v>0.05</v>
      </c>
      <c r="C5" s="7" t="s">
        <v>146</v>
      </c>
      <c r="D5" s="7"/>
      <c r="E5" s="61" t="s">
        <v>13</v>
      </c>
      <c r="F5" s="4">
        <f>Enrollment!C60+Enrollment!C61</f>
        <v>15090386.544886041</v>
      </c>
      <c r="G5" s="4">
        <f>Enrollment!D60+Enrollment!D61</f>
        <v>15632709.900280576</v>
      </c>
      <c r="H5" s="4">
        <f>Enrollment!E60+Enrollment!E61</f>
        <v>16619899.570101799</v>
      </c>
      <c r="I5" s="4">
        <f>Enrollment!F60+Enrollment!F61</f>
        <v>16718128.753821494</v>
      </c>
      <c r="J5" s="4">
        <f>Enrollment!G60+Enrollment!G61</f>
        <v>18595294.249010853</v>
      </c>
      <c r="K5" s="63">
        <f>Enrollment!H60+Enrollment!H61</f>
        <v>19387644.443120893</v>
      </c>
      <c r="L5" s="12"/>
      <c r="M5" s="12"/>
    </row>
    <row r="6" spans="1:13" x14ac:dyDescent="0.25">
      <c r="A6" s="129" t="s">
        <v>57</v>
      </c>
      <c r="B6" s="29">
        <v>0.6</v>
      </c>
      <c r="C6" s="12"/>
      <c r="D6" s="12"/>
      <c r="E6" s="61" t="s">
        <v>14</v>
      </c>
      <c r="F6" s="17">
        <f t="shared" ref="F6" si="0">F4-F5</f>
        <v>34426837.573727101</v>
      </c>
      <c r="G6" s="17">
        <f t="shared" ref="G6" si="1">G4-G5</f>
        <v>31188348.642277081</v>
      </c>
      <c r="H6" s="17">
        <f t="shared" ref="H6" si="2">H4-H5</f>
        <v>28558734.542313322</v>
      </c>
      <c r="I6" s="17">
        <f t="shared" ref="I6" si="3">I4-I5</f>
        <v>24867967.504254833</v>
      </c>
      <c r="J6" s="17">
        <f t="shared" ref="J6" si="4">J4-J5</f>
        <v>22976994.10417828</v>
      </c>
      <c r="K6" s="64">
        <f t="shared" ref="K6" si="5">K4-K5</f>
        <v>18670068.846555654</v>
      </c>
      <c r="L6" s="12"/>
      <c r="M6" s="12"/>
    </row>
    <row r="7" spans="1:13" x14ac:dyDescent="0.25">
      <c r="A7" s="129" t="s">
        <v>145</v>
      </c>
      <c r="B7" s="29">
        <v>0.05</v>
      </c>
      <c r="C7" s="7" t="s">
        <v>54</v>
      </c>
      <c r="D7" s="7"/>
      <c r="E7" s="61" t="s">
        <v>3</v>
      </c>
      <c r="F7" s="21">
        <f>Enrollment!C73</f>
        <v>3000000</v>
      </c>
      <c r="G7" s="21">
        <f>Enrollment!D73</f>
        <v>3560000</v>
      </c>
      <c r="H7" s="21">
        <f>Enrollment!E73</f>
        <v>3121200</v>
      </c>
      <c r="I7" s="21">
        <f>Enrollment!F73</f>
        <v>3183624</v>
      </c>
      <c r="J7" s="21">
        <f>Enrollment!G73</f>
        <v>3247296.48</v>
      </c>
      <c r="K7" s="62">
        <f>Enrollment!H73</f>
        <v>3312242.4095999999</v>
      </c>
      <c r="L7" s="12"/>
      <c r="M7" s="12"/>
    </row>
    <row r="8" spans="1:13" x14ac:dyDescent="0.25">
      <c r="A8" s="9" t="s">
        <v>59</v>
      </c>
      <c r="B8" s="29">
        <v>0</v>
      </c>
      <c r="C8" s="7" t="s">
        <v>129</v>
      </c>
      <c r="D8" s="7"/>
      <c r="E8" s="61" t="s">
        <v>4</v>
      </c>
      <c r="F8" s="4">
        <f>Enrollment!C74</f>
        <v>500000</v>
      </c>
      <c r="G8" s="4">
        <f>Enrollment!D74</f>
        <v>560000</v>
      </c>
      <c r="H8" s="4">
        <f>Enrollment!E74</f>
        <v>520200</v>
      </c>
      <c r="I8" s="4">
        <f>Enrollment!F74</f>
        <v>530604</v>
      </c>
      <c r="J8" s="4">
        <f>Enrollment!G74</f>
        <v>541216.07999999996</v>
      </c>
      <c r="K8" s="63">
        <f>Enrollment!H74</f>
        <v>552040.40159999998</v>
      </c>
      <c r="L8" s="12"/>
      <c r="M8" s="12"/>
    </row>
    <row r="9" spans="1:13" x14ac:dyDescent="0.25">
      <c r="A9" s="9" t="s">
        <v>60</v>
      </c>
      <c r="B9" s="29">
        <v>0</v>
      </c>
      <c r="C9" s="7" t="s">
        <v>129</v>
      </c>
      <c r="D9" s="7"/>
      <c r="E9" s="65" t="s">
        <v>31</v>
      </c>
      <c r="F9" s="17">
        <f t="shared" ref="F9:K9" si="6">SUM(F6:F8)</f>
        <v>37926837.573727101</v>
      </c>
      <c r="G9" s="17">
        <f t="shared" si="6"/>
        <v>35308348.642277077</v>
      </c>
      <c r="H9" s="17">
        <f t="shared" si="6"/>
        <v>32200134.542313322</v>
      </c>
      <c r="I9" s="17">
        <f t="shared" si="6"/>
        <v>28582195.504254833</v>
      </c>
      <c r="J9" s="17">
        <f t="shared" si="6"/>
        <v>26765506.664178278</v>
      </c>
      <c r="K9" s="64">
        <f t="shared" si="6"/>
        <v>22534351.657755654</v>
      </c>
      <c r="L9" s="12"/>
      <c r="M9" s="12"/>
    </row>
    <row r="10" spans="1:13" x14ac:dyDescent="0.25">
      <c r="A10" s="9" t="s">
        <v>130</v>
      </c>
      <c r="B10" s="1">
        <v>500000</v>
      </c>
      <c r="C10" s="12"/>
      <c r="D10" s="12"/>
      <c r="E10" s="37"/>
      <c r="F10" s="27"/>
      <c r="G10" s="27"/>
      <c r="H10" s="27"/>
      <c r="I10" s="27"/>
      <c r="J10" s="27"/>
      <c r="K10" s="56"/>
      <c r="L10" s="12"/>
      <c r="M10" s="12"/>
    </row>
    <row r="11" spans="1:13" x14ac:dyDescent="0.25">
      <c r="A11" s="9" t="s">
        <v>131</v>
      </c>
      <c r="B11" s="29">
        <v>0.1</v>
      </c>
      <c r="C11" s="12"/>
      <c r="D11" s="12"/>
      <c r="E11" s="109" t="s">
        <v>76</v>
      </c>
      <c r="F11" s="106">
        <f>B29+1</f>
        <v>2022</v>
      </c>
      <c r="G11" s="106">
        <f>F11+1</f>
        <v>2023</v>
      </c>
      <c r="H11" s="106">
        <f t="shared" ref="H11:K11" si="7">G11+1</f>
        <v>2024</v>
      </c>
      <c r="I11" s="106">
        <f t="shared" si="7"/>
        <v>2025</v>
      </c>
      <c r="J11" s="106">
        <f t="shared" si="7"/>
        <v>2026</v>
      </c>
      <c r="K11" s="107">
        <f t="shared" si="7"/>
        <v>2027</v>
      </c>
      <c r="L11" s="12"/>
      <c r="M11" s="12"/>
    </row>
    <row r="12" spans="1:13" x14ac:dyDescent="0.25">
      <c r="A12" s="9" t="s">
        <v>68</v>
      </c>
      <c r="B12" s="29">
        <v>0.01</v>
      </c>
      <c r="C12" s="7" t="s">
        <v>129</v>
      </c>
      <c r="D12" s="7"/>
      <c r="E12" s="61" t="s">
        <v>6</v>
      </c>
      <c r="F12" s="21">
        <f>Staffing!B90</f>
        <v>17449000</v>
      </c>
      <c r="G12" s="21">
        <f>Staffing!C90</f>
        <v>17631969.130434781</v>
      </c>
      <c r="H12" s="21">
        <f>Staffing!D90</f>
        <v>17855624.019554783</v>
      </c>
      <c r="I12" s="21">
        <f>Staffing!E90</f>
        <v>18021902.906612355</v>
      </c>
      <c r="J12" s="21">
        <f>Staffing!F90</f>
        <v>18779381.492819179</v>
      </c>
      <c r="K12" s="62">
        <f>Staffing!G90</f>
        <v>18319229.524464112</v>
      </c>
      <c r="L12" s="12"/>
      <c r="M12" s="12"/>
    </row>
    <row r="13" spans="1:13" x14ac:dyDescent="0.25">
      <c r="A13" s="9" t="s">
        <v>69</v>
      </c>
      <c r="B13" s="29">
        <v>0</v>
      </c>
      <c r="C13" s="7" t="s">
        <v>129</v>
      </c>
      <c r="D13" s="7"/>
      <c r="E13" s="61" t="s">
        <v>7</v>
      </c>
      <c r="F13" s="21">
        <f>Staffing!B91</f>
        <v>2298000</v>
      </c>
      <c r="G13" s="21">
        <f>Staffing!C91</f>
        <v>2320265.9130434785</v>
      </c>
      <c r="H13" s="21">
        <f>Staffing!D91</f>
        <v>2342246.3882434783</v>
      </c>
      <c r="I13" s="21">
        <f>Staffing!E91</f>
        <v>2365214.7526027928</v>
      </c>
      <c r="J13" s="21">
        <f>Staffing!F91</f>
        <v>2387894.605530608</v>
      </c>
      <c r="K13" s="62">
        <f>Staffing!G91</f>
        <v>2410248.6991709988</v>
      </c>
      <c r="L13" s="12"/>
      <c r="M13" s="12"/>
    </row>
    <row r="14" spans="1:13" x14ac:dyDescent="0.25">
      <c r="A14" s="9" t="s">
        <v>70</v>
      </c>
      <c r="B14" s="29">
        <v>0.01</v>
      </c>
      <c r="C14" s="7" t="s">
        <v>129</v>
      </c>
      <c r="D14" s="7"/>
      <c r="E14" s="61" t="s">
        <v>8</v>
      </c>
      <c r="F14" s="21">
        <f>Staffing!B92</f>
        <v>2336000</v>
      </c>
      <c r="G14" s="21">
        <f>Staffing!C92</f>
        <v>2346045.4956521741</v>
      </c>
      <c r="H14" s="21">
        <f>Staffing!D92</f>
        <v>2538422.8265321744</v>
      </c>
      <c r="I14" s="21">
        <f>Staffing!E92</f>
        <v>2548028.0652984735</v>
      </c>
      <c r="J14" s="21">
        <f>Staffing!F92</f>
        <v>2556503.5476045767</v>
      </c>
      <c r="K14" s="62">
        <f>Staffing!G92</f>
        <v>2563773.5349459876</v>
      </c>
      <c r="L14" s="12"/>
      <c r="M14" s="12"/>
    </row>
    <row r="15" spans="1:13" x14ac:dyDescent="0.25">
      <c r="A15" s="9" t="s">
        <v>71</v>
      </c>
      <c r="B15" s="29">
        <v>0.01</v>
      </c>
      <c r="C15" s="7" t="s">
        <v>129</v>
      </c>
      <c r="D15" s="7"/>
      <c r="E15" s="61" t="s">
        <v>9</v>
      </c>
      <c r="F15" s="21">
        <f>Staffing!B93</f>
        <v>1459000</v>
      </c>
      <c r="G15" s="21">
        <f>Staffing!C93</f>
        <v>1467190.3304347827</v>
      </c>
      <c r="H15" s="21">
        <f>Staffing!D93</f>
        <v>1474920.4265947829</v>
      </c>
      <c r="I15" s="21">
        <f>Staffing!E93</f>
        <v>1483139.7505515676</v>
      </c>
      <c r="J15" s="21">
        <f>Staffing!F93</f>
        <v>1490882.2587269132</v>
      </c>
      <c r="K15" s="62">
        <f>Staffing!G93</f>
        <v>1498112.7053246822</v>
      </c>
      <c r="L15" s="12"/>
      <c r="M15" s="12"/>
    </row>
    <row r="16" spans="1:13" x14ac:dyDescent="0.25">
      <c r="A16" s="9" t="s">
        <v>37</v>
      </c>
      <c r="B16" s="1">
        <v>-4</v>
      </c>
      <c r="C16" s="7" t="s">
        <v>36</v>
      </c>
      <c r="D16" s="7"/>
      <c r="E16" s="61" t="s">
        <v>10</v>
      </c>
      <c r="F16" s="4">
        <f>Staffing!B94</f>
        <v>2059000</v>
      </c>
      <c r="G16" s="4">
        <f>Staffing!C94</f>
        <v>2091190.3304347827</v>
      </c>
      <c r="H16" s="4">
        <f>Staffing!D94</f>
        <v>2165892.0665947828</v>
      </c>
      <c r="I16" s="4">
        <f>Staffing!E94</f>
        <v>2400368.5399915678</v>
      </c>
      <c r="J16" s="4">
        <f>Staffing!F94</f>
        <v>2443386.6480973139</v>
      </c>
      <c r="K16" s="63">
        <f>Staffing!G94</f>
        <v>2487271.2165508103</v>
      </c>
      <c r="L16" s="12"/>
      <c r="M16" s="12"/>
    </row>
    <row r="17" spans="1:13" x14ac:dyDescent="0.25">
      <c r="A17" s="9" t="s">
        <v>38</v>
      </c>
      <c r="B17" s="1">
        <v>-3</v>
      </c>
      <c r="C17" s="7" t="s">
        <v>36</v>
      </c>
      <c r="D17" s="7"/>
      <c r="E17" s="65" t="s">
        <v>32</v>
      </c>
      <c r="F17" s="21">
        <f>Staffing!B95</f>
        <v>25601000</v>
      </c>
      <c r="G17" s="21">
        <f>Staffing!C95</f>
        <v>25856661.199999999</v>
      </c>
      <c r="H17" s="21">
        <f>Staffing!D95</f>
        <v>26377105.72752</v>
      </c>
      <c r="I17" s="21">
        <f>Staffing!E95</f>
        <v>26818654.015056755</v>
      </c>
      <c r="J17" s="21">
        <f>Staffing!F95</f>
        <v>27658048.55277859</v>
      </c>
      <c r="K17" s="62">
        <f>Staffing!G95</f>
        <v>27278635.680456594</v>
      </c>
      <c r="L17" s="12"/>
      <c r="M17" s="12"/>
    </row>
    <row r="18" spans="1:13" x14ac:dyDescent="0.25">
      <c r="A18" s="9" t="s">
        <v>66</v>
      </c>
      <c r="B18" s="1">
        <v>8</v>
      </c>
      <c r="C18" s="7" t="s">
        <v>36</v>
      </c>
      <c r="D18" s="7"/>
      <c r="E18" s="37"/>
      <c r="F18" s="27"/>
      <c r="G18" s="27"/>
      <c r="H18" s="27"/>
      <c r="I18" s="27"/>
      <c r="J18" s="27"/>
      <c r="K18" s="56"/>
      <c r="L18" s="12"/>
      <c r="M18" s="12"/>
    </row>
    <row r="19" spans="1:13" ht="15.75" thickBot="1" x14ac:dyDescent="0.3">
      <c r="A19" s="9" t="s">
        <v>67</v>
      </c>
      <c r="B19" s="1">
        <v>-1</v>
      </c>
      <c r="C19" s="7" t="s">
        <v>36</v>
      </c>
      <c r="D19" s="7"/>
      <c r="E19" s="66" t="s">
        <v>33</v>
      </c>
      <c r="F19" s="67">
        <f t="shared" ref="F19:K19" si="8">F9-F17</f>
        <v>12325837.573727101</v>
      </c>
      <c r="G19" s="67">
        <f t="shared" si="8"/>
        <v>9451687.4422770776</v>
      </c>
      <c r="H19" s="67">
        <f t="shared" si="8"/>
        <v>5823028.8147933222</v>
      </c>
      <c r="I19" s="67">
        <f t="shared" si="8"/>
        <v>1763541.4891980775</v>
      </c>
      <c r="J19" s="67">
        <f t="shared" si="8"/>
        <v>-892541.88860031217</v>
      </c>
      <c r="K19" s="68">
        <f t="shared" si="8"/>
        <v>-4744284.0227009393</v>
      </c>
      <c r="L19" s="12"/>
      <c r="M19" s="12"/>
    </row>
    <row r="20" spans="1:13" x14ac:dyDescent="0.25">
      <c r="A20" s="9" t="s">
        <v>41</v>
      </c>
      <c r="B20" s="29">
        <v>0.02</v>
      </c>
      <c r="C20" s="7" t="s">
        <v>129</v>
      </c>
      <c r="D20" s="7"/>
      <c r="E20" s="12"/>
      <c r="F20" s="12"/>
      <c r="G20" s="12"/>
      <c r="H20" s="12"/>
      <c r="I20" s="12"/>
      <c r="J20" s="12"/>
      <c r="K20" s="12"/>
      <c r="L20" s="12"/>
      <c r="M20" s="12"/>
    </row>
    <row r="21" spans="1:13" x14ac:dyDescent="0.25">
      <c r="A21" s="12"/>
      <c r="B21" s="13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x14ac:dyDescent="0.25">
      <c r="A22" s="8" t="s">
        <v>52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x14ac:dyDescent="0.25">
      <c r="A23" s="9" t="s">
        <v>1</v>
      </c>
      <c r="B23" s="29">
        <v>0.02</v>
      </c>
      <c r="C23" s="7"/>
      <c r="D23" s="7"/>
      <c r="E23" s="12"/>
      <c r="F23" s="12"/>
      <c r="G23" s="12"/>
      <c r="H23" s="12"/>
      <c r="I23" s="12"/>
      <c r="J23" s="12"/>
      <c r="K23" s="12"/>
      <c r="L23" s="12"/>
      <c r="M23" s="12"/>
    </row>
    <row r="24" spans="1:13" x14ac:dyDescent="0.25">
      <c r="A24" s="9" t="s">
        <v>64</v>
      </c>
      <c r="B24" s="29">
        <v>0.45</v>
      </c>
      <c r="C24" s="7" t="s">
        <v>39</v>
      </c>
      <c r="D24" s="7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A25" s="9" t="s">
        <v>65</v>
      </c>
      <c r="B25" s="29">
        <v>0.1</v>
      </c>
      <c r="C25" s="7"/>
      <c r="D25" s="7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25">
      <c r="A26" s="9" t="s">
        <v>74</v>
      </c>
      <c r="B26" s="29">
        <v>0.02</v>
      </c>
      <c r="C26" s="7" t="s">
        <v>40</v>
      </c>
      <c r="D26" s="7"/>
      <c r="E26" s="12"/>
      <c r="F26" s="12"/>
      <c r="G26" s="12"/>
      <c r="H26" s="12"/>
      <c r="I26" s="12"/>
      <c r="J26" s="12"/>
      <c r="K26" s="12"/>
      <c r="L26" s="12"/>
      <c r="M26" s="12"/>
    </row>
    <row r="27" spans="1:13" x14ac:dyDescent="0.25">
      <c r="A27" s="9" t="s">
        <v>75</v>
      </c>
      <c r="B27" s="29">
        <v>0</v>
      </c>
      <c r="C27" s="7"/>
      <c r="D27" s="7"/>
      <c r="E27" s="12"/>
      <c r="F27" s="12"/>
      <c r="G27" s="12"/>
      <c r="H27" s="12"/>
      <c r="I27" s="12"/>
      <c r="J27" s="12"/>
      <c r="K27" s="12"/>
      <c r="L27" s="12"/>
      <c r="M27" s="12"/>
    </row>
    <row r="28" spans="1:13" x14ac:dyDescent="0.25">
      <c r="A28" s="78"/>
      <c r="B28" s="23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x14ac:dyDescent="0.25">
      <c r="A29" s="9" t="s">
        <v>5</v>
      </c>
      <c r="B29" s="2">
        <v>2021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x14ac:dyDescent="0.25">
      <c r="A30" s="12"/>
      <c r="B30" s="13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26EAE-6469-47B7-AC92-C4C09F936CD4}">
  <dimension ref="A1:O87"/>
  <sheetViews>
    <sheetView zoomScaleNormal="100" workbookViewId="0"/>
  </sheetViews>
  <sheetFormatPr defaultRowHeight="15" x14ac:dyDescent="0.25"/>
  <cols>
    <col min="1" max="1" width="40.5703125" customWidth="1"/>
    <col min="2" max="2" width="12" customWidth="1"/>
    <col min="3" max="14" width="11.7109375" customWidth="1"/>
  </cols>
  <sheetData>
    <row r="1" spans="1:15" x14ac:dyDescent="0.25">
      <c r="A1" s="69" t="str">
        <f>Summary!A1</f>
        <v>Foggy Mountain College</v>
      </c>
      <c r="B1" s="95"/>
      <c r="C1" s="111" t="s">
        <v>82</v>
      </c>
      <c r="D1" s="121">
        <f>Summary!B3</f>
        <v>-0.01</v>
      </c>
      <c r="E1" s="27"/>
      <c r="F1" s="27"/>
      <c r="G1" s="27"/>
      <c r="H1" s="27"/>
      <c r="I1" s="12"/>
      <c r="J1" s="12"/>
      <c r="K1" s="12"/>
      <c r="L1" s="12"/>
      <c r="M1" s="12"/>
      <c r="N1" s="12"/>
      <c r="O1" s="12"/>
    </row>
    <row r="2" spans="1:15" x14ac:dyDescent="0.25">
      <c r="A2" s="117"/>
      <c r="B2" s="10" t="s">
        <v>156</v>
      </c>
      <c r="C2" s="106">
        <f>C69</f>
        <v>2022</v>
      </c>
      <c r="D2" s="106">
        <f t="shared" ref="D2:H2" si="0">D69</f>
        <v>2023</v>
      </c>
      <c r="E2" s="106">
        <f t="shared" si="0"/>
        <v>2024</v>
      </c>
      <c r="F2" s="106">
        <f t="shared" si="0"/>
        <v>2025</v>
      </c>
      <c r="G2" s="106">
        <f t="shared" si="0"/>
        <v>2026</v>
      </c>
      <c r="H2" s="106">
        <f t="shared" si="0"/>
        <v>2027</v>
      </c>
      <c r="I2" s="12"/>
      <c r="J2" s="12"/>
      <c r="K2" s="12"/>
      <c r="L2" s="12"/>
      <c r="M2" s="12"/>
      <c r="N2" s="12"/>
      <c r="O2" s="12"/>
    </row>
    <row r="3" spans="1:15" x14ac:dyDescent="0.25">
      <c r="A3" s="9" t="s">
        <v>157</v>
      </c>
      <c r="B3" s="11" t="s">
        <v>46</v>
      </c>
      <c r="C3" s="110">
        <v>400</v>
      </c>
      <c r="D3" s="3">
        <f>C3*(1+$D$1)</f>
        <v>396</v>
      </c>
      <c r="E3" s="3">
        <f>D3*(1+$D$1)</f>
        <v>392.04</v>
      </c>
      <c r="F3" s="3">
        <f>E3*(1+$D$1)</f>
        <v>388.11959999999999</v>
      </c>
      <c r="G3" s="3">
        <f>F3*(1+$D$1)</f>
        <v>384.238404</v>
      </c>
      <c r="H3" s="3">
        <f>G3*(1+$D$1)</f>
        <v>380.39601995999999</v>
      </c>
      <c r="I3" s="12"/>
      <c r="J3" s="12"/>
      <c r="K3" s="12"/>
      <c r="L3" s="12"/>
      <c r="M3" s="12"/>
      <c r="N3" s="12"/>
      <c r="O3" s="12"/>
    </row>
    <row r="4" spans="1:15" x14ac:dyDescent="0.25">
      <c r="A4" s="9" t="s">
        <v>158</v>
      </c>
      <c r="B4" s="116">
        <v>0.4</v>
      </c>
      <c r="C4" s="3">
        <f>C3*$B$4</f>
        <v>160</v>
      </c>
      <c r="D4" s="3">
        <f>D3*$B$4</f>
        <v>158.4</v>
      </c>
      <c r="E4" s="3">
        <f>E3*$B$4</f>
        <v>156.81600000000003</v>
      </c>
      <c r="F4" s="3">
        <f>F3*$B$4</f>
        <v>155.24784</v>
      </c>
      <c r="G4" s="3">
        <f>G3*$B$4</f>
        <v>153.69536160000001</v>
      </c>
      <c r="H4" s="3">
        <f>H3*$B$4</f>
        <v>152.15840798400001</v>
      </c>
      <c r="I4" s="12"/>
      <c r="J4" s="12"/>
      <c r="K4" s="12"/>
      <c r="L4" s="12"/>
      <c r="M4" s="12"/>
      <c r="N4" s="12"/>
      <c r="O4" s="12"/>
    </row>
    <row r="5" spans="1:15" x14ac:dyDescent="0.25">
      <c r="A5" s="9" t="s">
        <v>159</v>
      </c>
      <c r="B5" s="117"/>
      <c r="C5" s="92">
        <f>StuFlow!P18</f>
        <v>1443.4128343154659</v>
      </c>
      <c r="D5" s="92">
        <f>StuFlow!P46</f>
        <v>1242.8778343154659</v>
      </c>
      <c r="E5" s="92">
        <f>StuFlow!P74</f>
        <v>1122.6312808154657</v>
      </c>
      <c r="F5" s="92">
        <f>StuFlow!P102</f>
        <v>909.33344054716588</v>
      </c>
      <c r="G5" s="92">
        <f>StuFlow!P130</f>
        <v>900.15477845079738</v>
      </c>
      <c r="H5" s="92">
        <f>StuFlow!P158</f>
        <v>873.52197063895426</v>
      </c>
      <c r="I5" s="12"/>
      <c r="J5" s="12"/>
      <c r="K5" s="12"/>
      <c r="L5" s="12"/>
      <c r="M5" s="12"/>
      <c r="N5" s="12"/>
      <c r="O5" s="12"/>
    </row>
    <row r="6" spans="1:15" x14ac:dyDescent="0.25">
      <c r="A6" s="9" t="s">
        <v>160</v>
      </c>
      <c r="B6" s="117"/>
      <c r="C6" s="92">
        <f>StuFlow!P32</f>
        <v>1428.4128343154659</v>
      </c>
      <c r="D6" s="92">
        <f>StuFlow!P60</f>
        <v>1275.1250343154657</v>
      </c>
      <c r="E6" s="92">
        <f>StuFlow!P88</f>
        <v>1174.6451808054658</v>
      </c>
      <c r="F6" s="92">
        <f>StuFlow!P116</f>
        <v>1011.7095097071079</v>
      </c>
      <c r="G6" s="92">
        <f>StuFlow!P144</f>
        <v>985.28855238030496</v>
      </c>
      <c r="H6" s="92">
        <f>StuFlow!P172</f>
        <v>900.77320881141225</v>
      </c>
      <c r="I6" s="12"/>
      <c r="J6" s="12"/>
      <c r="K6" s="12"/>
      <c r="L6" s="12"/>
      <c r="M6" s="12"/>
      <c r="N6" s="12"/>
      <c r="O6" s="12"/>
    </row>
    <row r="7" spans="1:15" x14ac:dyDescent="0.25">
      <c r="A7" s="9" t="s">
        <v>161</v>
      </c>
      <c r="B7" s="118">
        <f>B4</f>
        <v>0.4</v>
      </c>
      <c r="C7" s="1">
        <v>100</v>
      </c>
      <c r="D7" s="3">
        <f>C7*(1+$D$1)</f>
        <v>99</v>
      </c>
      <c r="E7" s="3">
        <f>D7*(1+$D$1)</f>
        <v>98.01</v>
      </c>
      <c r="F7" s="3">
        <f>E7*(1+$D$1)</f>
        <v>97.029899999999998</v>
      </c>
      <c r="G7" s="3">
        <f>F7*(1+$D$1)</f>
        <v>96.059601000000001</v>
      </c>
      <c r="H7" s="3">
        <f>G7*(1+$D$1)</f>
        <v>95.099004989999997</v>
      </c>
      <c r="I7" s="12"/>
      <c r="J7" s="12"/>
      <c r="K7" s="12"/>
      <c r="L7" s="12"/>
      <c r="M7" s="12"/>
      <c r="N7" s="12"/>
      <c r="O7" s="12"/>
    </row>
    <row r="8" spans="1:15" x14ac:dyDescent="0.25">
      <c r="A8" s="9" t="s">
        <v>162</v>
      </c>
      <c r="B8" s="117"/>
      <c r="C8" s="3">
        <f>C7*$B$4</f>
        <v>40</v>
      </c>
      <c r="D8" s="3">
        <f>D7*$B$4</f>
        <v>39.6</v>
      </c>
      <c r="E8" s="3">
        <f>E7*$B$4</f>
        <v>39.204000000000008</v>
      </c>
      <c r="F8" s="3">
        <f>F7*$B$4</f>
        <v>38.811959999999999</v>
      </c>
      <c r="G8" s="3">
        <f>G7*$B$4</f>
        <v>38.423840400000003</v>
      </c>
      <c r="H8" s="3">
        <f>H7*$B$4</f>
        <v>38.039601996000002</v>
      </c>
      <c r="I8" s="12"/>
      <c r="J8" s="12"/>
      <c r="K8" s="12"/>
      <c r="L8" s="12"/>
      <c r="M8" s="12"/>
      <c r="N8" s="12"/>
      <c r="O8" s="12"/>
    </row>
    <row r="9" spans="1:15" x14ac:dyDescent="0.25">
      <c r="A9" s="9" t="s">
        <v>163</v>
      </c>
      <c r="B9" s="78"/>
      <c r="C9" s="92">
        <f>StuFlow!Q18</f>
        <v>1994.217698931086</v>
      </c>
      <c r="D9" s="92">
        <f>StuFlow!Q46</f>
        <v>1877.8726989310858</v>
      </c>
      <c r="E9" s="92">
        <f>StuFlow!Q74</f>
        <v>1741.9611449310858</v>
      </c>
      <c r="F9" s="92">
        <f>StuFlow!Q102</f>
        <v>1613.282190186686</v>
      </c>
      <c r="G9" s="92">
        <f>StuFlow!Q130</f>
        <v>1465.3445613162762</v>
      </c>
      <c r="H9" s="92">
        <f>StuFlow!Q158</f>
        <v>1111.8704567675254</v>
      </c>
      <c r="I9" s="12"/>
      <c r="J9" s="12"/>
      <c r="K9" s="12"/>
      <c r="L9" s="12"/>
      <c r="M9" s="12"/>
      <c r="N9" s="12"/>
      <c r="O9" s="12"/>
    </row>
    <row r="10" spans="1:15" x14ac:dyDescent="0.25">
      <c r="A10" s="9" t="s">
        <v>164</v>
      </c>
      <c r="B10" s="117"/>
      <c r="C10" s="94">
        <f>StuFlow!Q32</f>
        <v>1982.717698931086</v>
      </c>
      <c r="D10" s="94">
        <f>StuFlow!Q60</f>
        <v>1850.7494989310858</v>
      </c>
      <c r="E10" s="94">
        <f>StuFlow!Q88</f>
        <v>1714.8205350910857</v>
      </c>
      <c r="F10" s="94">
        <f>StuFlow!Q116</f>
        <v>1572.823510987</v>
      </c>
      <c r="G10" s="94">
        <f>StuFlow!Q144</f>
        <v>1438.8636803146403</v>
      </c>
      <c r="H10" s="94">
        <f>StuFlow!Q172</f>
        <v>936.2953421506146</v>
      </c>
      <c r="I10" s="12"/>
      <c r="J10" s="12"/>
      <c r="K10" s="12"/>
      <c r="L10" s="12"/>
      <c r="M10" s="12"/>
      <c r="N10" s="12"/>
      <c r="O10" s="12"/>
    </row>
    <row r="11" spans="1:15" x14ac:dyDescent="0.25">
      <c r="A11" s="120" t="s">
        <v>165</v>
      </c>
      <c r="B11" s="78"/>
      <c r="C11" s="21">
        <f>SUM(C3:C9)</f>
        <v>5566.0433675620179</v>
      </c>
      <c r="D11" s="21">
        <f t="shared" ref="D11:H11" si="1">SUM(D3:D9)</f>
        <v>5088.8755675620177</v>
      </c>
      <c r="E11" s="21">
        <f t="shared" si="1"/>
        <v>4725.3076065520172</v>
      </c>
      <c r="F11" s="21">
        <f t="shared" si="1"/>
        <v>4213.5344404409598</v>
      </c>
      <c r="G11" s="21">
        <f t="shared" si="1"/>
        <v>4023.2050991473784</v>
      </c>
      <c r="H11" s="21">
        <f t="shared" si="1"/>
        <v>3551.858671147892</v>
      </c>
      <c r="I11" s="12"/>
      <c r="J11" s="12"/>
      <c r="K11" s="12"/>
      <c r="L11" s="12"/>
      <c r="M11" s="12"/>
      <c r="N11" s="12"/>
      <c r="O11" s="12"/>
    </row>
    <row r="12" spans="1:15" x14ac:dyDescent="0.25">
      <c r="A12" s="120" t="s">
        <v>166</v>
      </c>
      <c r="B12" s="117"/>
      <c r="C12" s="21">
        <f>C3+C5+C7+C9</f>
        <v>3937.6305332465517</v>
      </c>
      <c r="D12" s="21">
        <f t="shared" ref="D12:H12" si="2">D3+D5+D7+D9</f>
        <v>3615.7505332465516</v>
      </c>
      <c r="E12" s="21">
        <f t="shared" si="2"/>
        <v>3354.6424257465515</v>
      </c>
      <c r="F12" s="21">
        <f t="shared" si="2"/>
        <v>3007.7651307338519</v>
      </c>
      <c r="G12" s="21">
        <f t="shared" si="2"/>
        <v>2845.7973447670738</v>
      </c>
      <c r="H12" s="21">
        <f t="shared" si="2"/>
        <v>2460.8874523564796</v>
      </c>
      <c r="I12" s="12"/>
      <c r="J12" s="12"/>
      <c r="K12" s="12"/>
      <c r="L12" s="12"/>
      <c r="M12" s="12"/>
      <c r="N12" s="12"/>
      <c r="O12" s="12"/>
    </row>
    <row r="13" spans="1:15" x14ac:dyDescent="0.25">
      <c r="A13" s="1">
        <v>420</v>
      </c>
      <c r="B13" s="135" t="s">
        <v>154</v>
      </c>
      <c r="C13" s="135"/>
      <c r="D13" s="135"/>
      <c r="E13" s="135"/>
      <c r="F13" s="138"/>
      <c r="G13" s="95"/>
      <c r="H13" s="95"/>
      <c r="I13" s="95"/>
      <c r="J13" s="12"/>
      <c r="K13" s="12"/>
      <c r="L13" s="12"/>
      <c r="M13" s="12"/>
      <c r="N13" s="12"/>
      <c r="O13" s="12"/>
    </row>
    <row r="14" spans="1:15" x14ac:dyDescent="0.25">
      <c r="A14" s="1">
        <v>110</v>
      </c>
      <c r="B14" s="135" t="s">
        <v>155</v>
      </c>
      <c r="C14" s="135"/>
      <c r="D14" s="135"/>
      <c r="E14" s="135"/>
      <c r="F14" s="138"/>
      <c r="G14" s="95"/>
      <c r="H14" s="95"/>
      <c r="I14" s="95"/>
      <c r="J14" s="12"/>
      <c r="K14" s="12"/>
      <c r="L14" s="12"/>
      <c r="M14" s="12"/>
      <c r="N14" s="12"/>
      <c r="O14" s="12"/>
    </row>
    <row r="15" spans="1:15" x14ac:dyDescent="0.25">
      <c r="A15" s="19" t="s">
        <v>47</v>
      </c>
      <c r="B15" s="98" t="s">
        <v>49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x14ac:dyDescent="0.25">
      <c r="A16" s="9" t="s">
        <v>157</v>
      </c>
      <c r="B16" s="1">
        <v>17</v>
      </c>
      <c r="C16" s="21">
        <f>C3*$B16</f>
        <v>6800</v>
      </c>
      <c r="D16" s="21">
        <f>D3*$B16</f>
        <v>6732</v>
      </c>
      <c r="E16" s="21">
        <f>E3*$B16</f>
        <v>6664.68</v>
      </c>
      <c r="F16" s="21">
        <f>F3*$B16</f>
        <v>6598.0331999999999</v>
      </c>
      <c r="G16" s="21">
        <f>G3*$B16</f>
        <v>6532.0528679999998</v>
      </c>
      <c r="H16" s="21">
        <f>H3*$B16</f>
        <v>6466.7323393199995</v>
      </c>
      <c r="I16" s="12"/>
      <c r="J16" s="12"/>
      <c r="K16" s="12"/>
      <c r="L16" s="12"/>
      <c r="M16" s="12"/>
      <c r="N16" s="12"/>
      <c r="O16" s="12"/>
    </row>
    <row r="17" spans="1:15" x14ac:dyDescent="0.25">
      <c r="A17" s="9" t="s">
        <v>158</v>
      </c>
      <c r="B17" s="21"/>
      <c r="C17" s="21">
        <f>C4*$B16</f>
        <v>2720</v>
      </c>
      <c r="D17" s="21">
        <f>D4*$B16</f>
        <v>2692.8</v>
      </c>
      <c r="E17" s="21">
        <f>E4*$B16</f>
        <v>2665.8720000000003</v>
      </c>
      <c r="F17" s="21">
        <f>F4*$B16</f>
        <v>2639.2132799999999</v>
      </c>
      <c r="G17" s="21">
        <f>G4*$B16</f>
        <v>2612.8211472000003</v>
      </c>
      <c r="H17" s="21">
        <f>H4*$B16</f>
        <v>2586.6929357280001</v>
      </c>
      <c r="I17" s="12"/>
      <c r="J17" s="12"/>
      <c r="K17" s="12"/>
      <c r="L17" s="12"/>
      <c r="M17" s="12"/>
      <c r="N17" s="12"/>
      <c r="O17" s="12"/>
    </row>
    <row r="18" spans="1:15" x14ac:dyDescent="0.25">
      <c r="A18" s="9" t="s">
        <v>159</v>
      </c>
      <c r="B18" s="1">
        <v>14</v>
      </c>
      <c r="C18" s="21">
        <f>C5*$B18</f>
        <v>20207.779680416523</v>
      </c>
      <c r="D18" s="21">
        <f>D5*$B18</f>
        <v>17400.289680416521</v>
      </c>
      <c r="E18" s="21">
        <f>E5*$B18</f>
        <v>15716.837931416521</v>
      </c>
      <c r="F18" s="21">
        <f>F5*$B18</f>
        <v>12730.668167660322</v>
      </c>
      <c r="G18" s="21">
        <f>G5*$B18</f>
        <v>12602.166898311163</v>
      </c>
      <c r="H18" s="21">
        <f>H5*$B18</f>
        <v>12229.307588945359</v>
      </c>
      <c r="I18" s="12"/>
      <c r="J18" s="12"/>
      <c r="K18" s="12"/>
      <c r="L18" s="12"/>
      <c r="M18" s="12"/>
      <c r="N18" s="12"/>
      <c r="O18" s="12"/>
    </row>
    <row r="19" spans="1:15" x14ac:dyDescent="0.25">
      <c r="A19" s="9" t="s">
        <v>160</v>
      </c>
      <c r="B19" s="21"/>
      <c r="C19" s="21">
        <f>C6*$B18</f>
        <v>19997.779680416523</v>
      </c>
      <c r="D19" s="21">
        <f>D6*$B18</f>
        <v>17851.750480416518</v>
      </c>
      <c r="E19" s="21">
        <f>E6*$B18</f>
        <v>16445.03253127652</v>
      </c>
      <c r="F19" s="21">
        <f>F6*$B18</f>
        <v>14163.933135899511</v>
      </c>
      <c r="G19" s="21">
        <f>G6*$B18</f>
        <v>13794.039733324269</v>
      </c>
      <c r="H19" s="21">
        <f>H6*$B18</f>
        <v>12610.824923359771</v>
      </c>
      <c r="I19" s="12"/>
      <c r="J19" s="12"/>
      <c r="K19" s="12"/>
      <c r="L19" s="12"/>
      <c r="M19" s="12"/>
      <c r="N19" s="12"/>
      <c r="O19" s="12"/>
    </row>
    <row r="20" spans="1:15" x14ac:dyDescent="0.25">
      <c r="A20" s="9" t="s">
        <v>161</v>
      </c>
      <c r="B20" s="1">
        <v>7</v>
      </c>
      <c r="C20" s="21">
        <f>C7*$B20</f>
        <v>700</v>
      </c>
      <c r="D20" s="21">
        <f>D7*$B20</f>
        <v>693</v>
      </c>
      <c r="E20" s="21">
        <f>E7*$B20</f>
        <v>686.07</v>
      </c>
      <c r="F20" s="21">
        <f>F7*$B20</f>
        <v>679.20929999999998</v>
      </c>
      <c r="G20" s="21">
        <f>G7*$B20</f>
        <v>672.41720699999996</v>
      </c>
      <c r="H20" s="21">
        <f>H7*$B20</f>
        <v>665.69303492999995</v>
      </c>
      <c r="I20" s="12"/>
      <c r="J20" s="12"/>
      <c r="K20" s="12"/>
      <c r="L20" s="12"/>
      <c r="M20" s="12"/>
      <c r="N20" s="12"/>
      <c r="O20" s="12"/>
    </row>
    <row r="21" spans="1:15" x14ac:dyDescent="0.25">
      <c r="A21" s="9" t="s">
        <v>162</v>
      </c>
      <c r="B21" s="21"/>
      <c r="C21" s="21">
        <f>C8*$B20</f>
        <v>280</v>
      </c>
      <c r="D21" s="21">
        <f>D8*$B20</f>
        <v>277.2</v>
      </c>
      <c r="E21" s="21">
        <f>E8*$B20</f>
        <v>274.42800000000005</v>
      </c>
      <c r="F21" s="21">
        <f>F8*$B20</f>
        <v>271.68371999999999</v>
      </c>
      <c r="G21" s="21">
        <f>G8*$B20</f>
        <v>268.96688280000001</v>
      </c>
      <c r="H21" s="21">
        <f>H8*$B20</f>
        <v>266.27721397200003</v>
      </c>
      <c r="I21" s="12"/>
      <c r="J21" s="12"/>
      <c r="K21" s="12"/>
      <c r="L21" s="12"/>
      <c r="M21" s="12"/>
      <c r="N21" s="12"/>
      <c r="O21" s="12"/>
    </row>
    <row r="22" spans="1:15" x14ac:dyDescent="0.25">
      <c r="A22" s="9" t="s">
        <v>163</v>
      </c>
      <c r="B22" s="1">
        <v>4</v>
      </c>
      <c r="C22" s="139">
        <f>C9*$B22</f>
        <v>7976.8707957243441</v>
      </c>
      <c r="D22" s="4">
        <f>D9*$B22</f>
        <v>7511.4907957243431</v>
      </c>
      <c r="E22" s="4">
        <f>E9*$B22</f>
        <v>6967.844579724343</v>
      </c>
      <c r="F22" s="4">
        <f>F9*$B22</f>
        <v>6453.1287607467439</v>
      </c>
      <c r="G22" s="4">
        <f>G9*$B22</f>
        <v>5861.3782452651049</v>
      </c>
      <c r="H22" s="4">
        <f>H9*$B22</f>
        <v>4447.4818270701016</v>
      </c>
      <c r="I22" s="12"/>
      <c r="J22" s="12"/>
      <c r="K22" s="12"/>
      <c r="L22" s="12"/>
      <c r="M22" s="12"/>
      <c r="N22" s="12"/>
      <c r="O22" s="12"/>
    </row>
    <row r="23" spans="1:15" x14ac:dyDescent="0.25">
      <c r="A23" s="9" t="s">
        <v>164</v>
      </c>
      <c r="B23" s="22"/>
      <c r="C23" s="21">
        <f>C10*$B22</f>
        <v>7930.8707957243441</v>
      </c>
      <c r="D23" s="21">
        <f>D10*$B22</f>
        <v>7402.9979957243431</v>
      </c>
      <c r="E23" s="21">
        <f>E10*$B22</f>
        <v>6859.2821403643429</v>
      </c>
      <c r="F23" s="21">
        <f>F10*$B22</f>
        <v>6291.2940439479999</v>
      </c>
      <c r="G23" s="21">
        <f>G10*$B22</f>
        <v>5755.4547212585612</v>
      </c>
      <c r="H23" s="21">
        <f>H10*$B22</f>
        <v>3745.1813686024584</v>
      </c>
      <c r="I23" s="12"/>
      <c r="J23" s="12"/>
      <c r="K23" s="12"/>
      <c r="L23" s="12"/>
      <c r="M23" s="12"/>
      <c r="N23" s="12"/>
      <c r="O23" s="12"/>
    </row>
    <row r="24" spans="1:15" x14ac:dyDescent="0.25">
      <c r="A24" s="120" t="s">
        <v>167</v>
      </c>
      <c r="B24" s="22"/>
      <c r="C24" s="21">
        <f>C16+C18+C20+C22</f>
        <v>35684.650476140865</v>
      </c>
      <c r="D24" s="21">
        <f t="shared" ref="D24:H24" si="3">D16+D18+D20+D22</f>
        <v>32336.780476140862</v>
      </c>
      <c r="E24" s="21">
        <f t="shared" si="3"/>
        <v>30035.432511140865</v>
      </c>
      <c r="F24" s="21">
        <f t="shared" si="3"/>
        <v>26461.039428407064</v>
      </c>
      <c r="G24" s="21">
        <f t="shared" si="3"/>
        <v>25668.015218576264</v>
      </c>
      <c r="H24" s="21">
        <f t="shared" si="3"/>
        <v>23809.214790265461</v>
      </c>
      <c r="I24" s="12"/>
      <c r="J24" s="12"/>
      <c r="K24" s="12"/>
      <c r="L24" s="12"/>
      <c r="M24" s="12"/>
      <c r="N24" s="12"/>
      <c r="O24" s="12"/>
    </row>
    <row r="25" spans="1:15" x14ac:dyDescent="0.25">
      <c r="A25" s="120" t="s">
        <v>168</v>
      </c>
      <c r="B25" s="22"/>
      <c r="C25" s="21">
        <f>C17+C19+C21+C23</f>
        <v>30928.650476140865</v>
      </c>
      <c r="D25" s="21">
        <f t="shared" ref="D25:H25" si="4">D17+D19+D21+D23</f>
        <v>28224.748476140863</v>
      </c>
      <c r="E25" s="21">
        <f t="shared" si="4"/>
        <v>26244.614671640862</v>
      </c>
      <c r="F25" s="21">
        <f t="shared" si="4"/>
        <v>23366.124179847513</v>
      </c>
      <c r="G25" s="21">
        <f t="shared" si="4"/>
        <v>22431.282484582829</v>
      </c>
      <c r="H25" s="21">
        <f t="shared" si="4"/>
        <v>19208.976441662231</v>
      </c>
      <c r="I25" s="12"/>
      <c r="J25" s="12"/>
      <c r="K25" s="12"/>
      <c r="L25" s="12"/>
      <c r="M25" s="12"/>
      <c r="N25" s="12"/>
      <c r="O25" s="12"/>
    </row>
    <row r="26" spans="1:15" x14ac:dyDescent="0.25">
      <c r="A26" s="137" t="s">
        <v>50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x14ac:dyDescent="0.25">
      <c r="A27" s="9" t="s">
        <v>169</v>
      </c>
      <c r="B27" s="1">
        <v>16</v>
      </c>
      <c r="C27" s="21">
        <f>C24/$B27</f>
        <v>2230.2906547588041</v>
      </c>
      <c r="D27" s="21">
        <f t="shared" ref="D27:H27" si="5">D24/$B27</f>
        <v>2021.0487797588039</v>
      </c>
      <c r="E27" s="21">
        <f t="shared" si="5"/>
        <v>1877.2145319463041</v>
      </c>
      <c r="F27" s="21">
        <f t="shared" si="5"/>
        <v>1653.8149642754415</v>
      </c>
      <c r="G27" s="21">
        <f t="shared" si="5"/>
        <v>1604.2509511610165</v>
      </c>
      <c r="H27" s="21">
        <f t="shared" si="5"/>
        <v>1488.0759243915913</v>
      </c>
      <c r="I27" s="12"/>
      <c r="J27" s="12"/>
      <c r="K27" s="12"/>
      <c r="L27" s="12"/>
      <c r="M27" s="12"/>
      <c r="N27" s="12"/>
      <c r="O27" s="12"/>
    </row>
    <row r="28" spans="1:15" x14ac:dyDescent="0.25">
      <c r="A28" s="140" t="s">
        <v>170</v>
      </c>
      <c r="B28" s="15"/>
      <c r="C28" s="21">
        <f>C25/$B27</f>
        <v>1933.0406547588041</v>
      </c>
      <c r="D28" s="21">
        <f>D25/$B27</f>
        <v>1764.046779758804</v>
      </c>
      <c r="E28" s="21">
        <f>E25/$B27</f>
        <v>1640.2884169775539</v>
      </c>
      <c r="F28" s="21">
        <f>F25/$B27</f>
        <v>1460.3827612404696</v>
      </c>
      <c r="G28" s="21">
        <f>G25/$B27</f>
        <v>1401.9551552864268</v>
      </c>
      <c r="H28" s="21">
        <f>H25/$B27</f>
        <v>1200.5610276038894</v>
      </c>
      <c r="I28" s="12"/>
      <c r="J28" s="12"/>
      <c r="K28" s="12"/>
      <c r="L28" s="12"/>
      <c r="M28" s="12"/>
      <c r="N28" s="12"/>
      <c r="O28" s="12"/>
    </row>
    <row r="29" spans="1:15" x14ac:dyDescent="0.25">
      <c r="A29" s="78"/>
      <c r="B29" s="15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x14ac:dyDescent="0.25">
      <c r="A30" s="8" t="s">
        <v>171</v>
      </c>
      <c r="B30" s="87" t="str">
        <f>"Annual Rate above Inflation, "&amp;TEXT(Summary!B23,"0.0%")</f>
        <v>Annual Rate above Inflation, 2.0%</v>
      </c>
      <c r="C30" s="70"/>
      <c r="D30" s="5"/>
      <c r="E30" s="5"/>
      <c r="F30" s="5"/>
      <c r="G30" s="5"/>
      <c r="H30" s="5"/>
      <c r="I30" s="12"/>
      <c r="J30" s="12"/>
      <c r="K30" s="12"/>
      <c r="L30" s="12"/>
      <c r="M30" s="12"/>
      <c r="N30" s="12"/>
      <c r="O30" s="12"/>
    </row>
    <row r="31" spans="1:15" x14ac:dyDescent="0.25">
      <c r="A31" s="9" t="s">
        <v>172</v>
      </c>
      <c r="B31" s="119">
        <f>Summary!B4</f>
        <v>0.02</v>
      </c>
      <c r="C31" s="25">
        <v>10000</v>
      </c>
      <c r="D31" s="5">
        <f>C32*(1+$B31+Summary!$B$23)</f>
        <v>10400</v>
      </c>
      <c r="E31" s="5">
        <f>D32*(1+$B31+Summary!$B$23)</f>
        <v>10816</v>
      </c>
      <c r="F31" s="5">
        <f>E32*(1+$B31+Summary!$B$23)</f>
        <v>11248.640000000001</v>
      </c>
      <c r="G31" s="5">
        <f>F32*(1+$B31+Summary!$B$23)</f>
        <v>11698.585600000002</v>
      </c>
      <c r="H31" s="5">
        <f>G32*(1+$B31+Summary!$B$23)</f>
        <v>12166.529024000003</v>
      </c>
      <c r="I31" s="12"/>
      <c r="J31" s="12"/>
      <c r="K31" s="12"/>
      <c r="L31" s="12"/>
      <c r="M31" s="12"/>
      <c r="N31" s="12"/>
      <c r="O31" s="12"/>
    </row>
    <row r="32" spans="1:15" x14ac:dyDescent="0.25">
      <c r="A32" s="9" t="s">
        <v>173</v>
      </c>
      <c r="B32" s="26"/>
      <c r="C32" s="5">
        <f>C31</f>
        <v>10000</v>
      </c>
      <c r="D32" s="5">
        <f>D31</f>
        <v>10400</v>
      </c>
      <c r="E32" s="5">
        <f>E31</f>
        <v>10816</v>
      </c>
      <c r="F32" s="5">
        <f>F31</f>
        <v>11248.640000000001</v>
      </c>
      <c r="G32" s="5">
        <f>G31</f>
        <v>11698.585600000002</v>
      </c>
      <c r="H32" s="5">
        <f>H31</f>
        <v>12166.529024000003</v>
      </c>
      <c r="I32" s="12"/>
      <c r="J32" s="12"/>
      <c r="K32" s="12"/>
      <c r="L32" s="12"/>
      <c r="M32" s="12"/>
      <c r="N32" s="12"/>
      <c r="O32" s="12"/>
    </row>
    <row r="33" spans="1:15" x14ac:dyDescent="0.25">
      <c r="A33" s="9" t="s">
        <v>174</v>
      </c>
      <c r="B33" s="115">
        <f>B31</f>
        <v>0.02</v>
      </c>
      <c r="C33" s="25">
        <v>900</v>
      </c>
      <c r="D33" s="5">
        <f>C34*(1+$B33+Summary!$B$23)</f>
        <v>936</v>
      </c>
      <c r="E33" s="5">
        <f>D34*(1+$B33+Summary!$B$23)</f>
        <v>973.44</v>
      </c>
      <c r="F33" s="5">
        <f>E34*(1+$B33+Summary!$B$23)</f>
        <v>1012.3776000000001</v>
      </c>
      <c r="G33" s="5">
        <f>F34*(1+$B33+Summary!$B$23)</f>
        <v>1052.8727040000001</v>
      </c>
      <c r="H33" s="5">
        <f>G34*(1+$B33+Summary!$B$23)</f>
        <v>1094.9876121600003</v>
      </c>
      <c r="I33" s="12"/>
      <c r="J33" s="12"/>
      <c r="K33" s="12"/>
      <c r="L33" s="12"/>
      <c r="M33" s="12"/>
      <c r="N33" s="12"/>
      <c r="O33" s="12"/>
    </row>
    <row r="34" spans="1:15" x14ac:dyDescent="0.25">
      <c r="A34" s="9" t="s">
        <v>175</v>
      </c>
      <c r="B34" s="26"/>
      <c r="C34" s="17">
        <f>C33</f>
        <v>900</v>
      </c>
      <c r="D34" s="17">
        <f>D33</f>
        <v>936</v>
      </c>
      <c r="E34" s="17">
        <f>E33</f>
        <v>973.44</v>
      </c>
      <c r="F34" s="17">
        <f>F33</f>
        <v>1012.3776000000001</v>
      </c>
      <c r="G34" s="17">
        <f>G33</f>
        <v>1052.8727040000001</v>
      </c>
      <c r="H34" s="17">
        <f>H33</f>
        <v>1094.9876121600003</v>
      </c>
      <c r="I34" s="12"/>
      <c r="J34" s="12"/>
      <c r="K34" s="12"/>
      <c r="L34" s="12"/>
      <c r="M34" s="12"/>
      <c r="N34" s="12"/>
      <c r="O34" s="12"/>
    </row>
    <row r="35" spans="1:15" s="28" customFormat="1" x14ac:dyDescent="0.25">
      <c r="A35" s="24"/>
      <c r="B35" s="26"/>
      <c r="C35" s="24"/>
      <c r="D35" s="24"/>
      <c r="E35" s="24"/>
      <c r="F35" s="24"/>
      <c r="G35" s="24"/>
      <c r="H35" s="24"/>
      <c r="I35" s="12"/>
      <c r="J35" s="12"/>
      <c r="K35" s="12"/>
      <c r="L35" s="12"/>
      <c r="M35" s="12"/>
      <c r="N35" s="12"/>
      <c r="O35" s="12"/>
    </row>
    <row r="36" spans="1:15" x14ac:dyDescent="0.25">
      <c r="A36" s="8" t="s">
        <v>51</v>
      </c>
      <c r="B36" s="10" t="s">
        <v>156</v>
      </c>
      <c r="C36" s="136">
        <f>C69</f>
        <v>2022</v>
      </c>
      <c r="D36" s="136">
        <f>D2</f>
        <v>2023</v>
      </c>
      <c r="E36" s="136">
        <f>E2</f>
        <v>2024</v>
      </c>
      <c r="F36" s="136">
        <f>F2</f>
        <v>2025</v>
      </c>
      <c r="G36" s="136">
        <f>G2</f>
        <v>2026</v>
      </c>
      <c r="H36" s="136">
        <f>H2</f>
        <v>2027</v>
      </c>
      <c r="I36" s="12"/>
      <c r="J36" s="12"/>
      <c r="K36" s="12"/>
      <c r="L36" s="12"/>
      <c r="M36" s="12"/>
      <c r="N36" s="12"/>
      <c r="O36" s="12"/>
    </row>
    <row r="37" spans="1:15" x14ac:dyDescent="0.25">
      <c r="A37" s="9" t="s">
        <v>176</v>
      </c>
      <c r="B37" s="15"/>
      <c r="C37" s="5">
        <f>C31*(C3+C5)</f>
        <v>18434128.343154658</v>
      </c>
      <c r="D37" s="5">
        <f>D31*(D3+D5)</f>
        <v>17044329.476880845</v>
      </c>
      <c r="E37" s="5">
        <f>E31*(E3+E5)</f>
        <v>16382684.573300077</v>
      </c>
      <c r="F37" s="5">
        <f>F31*(F3+F5)</f>
        <v>14594582.170020474</v>
      </c>
      <c r="G37" s="5">
        <f>G31*(G3+G5)</f>
        <v>15025583.588957075</v>
      </c>
      <c r="H37" s="5">
        <f>H31*(H3+H5)</f>
        <v>15255829.62633794</v>
      </c>
      <c r="I37" s="12"/>
      <c r="J37" s="12"/>
      <c r="K37" s="12"/>
      <c r="L37" s="12"/>
      <c r="M37" s="12"/>
      <c r="N37" s="12"/>
      <c r="O37" s="12"/>
    </row>
    <row r="38" spans="1:15" x14ac:dyDescent="0.25">
      <c r="A38" s="9" t="s">
        <v>177</v>
      </c>
      <c r="B38" s="15"/>
      <c r="C38" s="5">
        <f>C32*(C4+C6)</f>
        <v>15884128.343154659</v>
      </c>
      <c r="D38" s="5">
        <f>D32*(D4+D6)</f>
        <v>14908660.356880844</v>
      </c>
      <c r="E38" s="5">
        <f>E32*(E4+E6)</f>
        <v>14401084.131591918</v>
      </c>
      <c r="F38" s="5">
        <f>F32*(F4+F6)</f>
        <v>13126683.122209363</v>
      </c>
      <c r="G38" s="5">
        <f>G32*(G4+G6)</f>
        <v>13324500.814721638</v>
      </c>
      <c r="H38" s="5">
        <f>H32*(H4+H6)</f>
        <v>12810523.076028634</v>
      </c>
      <c r="I38" s="12"/>
      <c r="J38" s="12"/>
      <c r="K38" s="12"/>
      <c r="L38" s="12"/>
      <c r="M38" s="12"/>
      <c r="N38" s="12"/>
      <c r="O38" s="12"/>
    </row>
    <row r="39" spans="1:15" x14ac:dyDescent="0.25">
      <c r="A39" s="9" t="s">
        <v>178</v>
      </c>
      <c r="B39" s="15"/>
      <c r="C39" s="17">
        <f>C33*(C20+C22)</f>
        <v>7809183.7161519099</v>
      </c>
      <c r="D39" s="17">
        <f>D33*(D20+D22)</f>
        <v>7679403.3847979847</v>
      </c>
      <c r="E39" s="17">
        <f>E33*(E20+E22)</f>
        <v>7450626.6084868647</v>
      </c>
      <c r="F39" s="17">
        <f>F33*(F20+F22)</f>
        <v>7220619.2883274443</v>
      </c>
      <c r="G39" s="17">
        <f>G33*(G20+G22)</f>
        <v>6879254.8852092652</v>
      </c>
      <c r="H39" s="17">
        <f>H33*(H20+H22)</f>
        <v>5598863.1326980302</v>
      </c>
      <c r="I39" s="12"/>
      <c r="J39" s="12"/>
      <c r="K39" s="12"/>
      <c r="L39" s="12"/>
      <c r="M39" s="12"/>
      <c r="N39" s="12"/>
      <c r="O39" s="12"/>
    </row>
    <row r="40" spans="1:15" x14ac:dyDescent="0.25">
      <c r="A40" s="9" t="s">
        <v>179</v>
      </c>
      <c r="B40" s="15"/>
      <c r="C40" s="18">
        <f>C34*(C21+C23)</f>
        <v>7389783.7161519099</v>
      </c>
      <c r="D40" s="18">
        <f>D34*(D21+D23)</f>
        <v>7188665.3239979846</v>
      </c>
      <c r="E40" s="18">
        <f>E34*(E21+E23)</f>
        <v>6944238.7990362663</v>
      </c>
      <c r="F40" s="18">
        <f>F34*(F21+F23)</f>
        <v>6644211.6775190439</v>
      </c>
      <c r="G40" s="18">
        <f>G34*(G21+G23)</f>
        <v>6342949.0643011555</v>
      </c>
      <c r="H40" s="18">
        <f>H34*(H21+H23)</f>
        <v>4392497.4546119459</v>
      </c>
      <c r="I40" s="12"/>
      <c r="J40" s="12"/>
      <c r="K40" s="12"/>
      <c r="L40" s="12"/>
      <c r="M40" s="12"/>
      <c r="N40" s="12"/>
      <c r="O40" s="12"/>
    </row>
    <row r="41" spans="1:15" x14ac:dyDescent="0.25">
      <c r="A41" s="9" t="s">
        <v>167</v>
      </c>
      <c r="B41" s="15"/>
      <c r="C41" s="5">
        <f>C37+C39</f>
        <v>26243312.059306569</v>
      </c>
      <c r="D41" s="5">
        <f t="shared" ref="D41:H41" si="6">D37+D39</f>
        <v>24723732.861678831</v>
      </c>
      <c r="E41" s="5">
        <f t="shared" si="6"/>
        <v>23833311.18178694</v>
      </c>
      <c r="F41" s="5">
        <f t="shared" si="6"/>
        <v>21815201.458347917</v>
      </c>
      <c r="G41" s="5">
        <f t="shared" si="6"/>
        <v>21904838.474166341</v>
      </c>
      <c r="H41" s="5">
        <f t="shared" si="6"/>
        <v>20854692.759035971</v>
      </c>
      <c r="I41" s="12"/>
      <c r="J41" s="12"/>
      <c r="K41" s="12"/>
      <c r="L41" s="12"/>
      <c r="M41" s="12"/>
      <c r="N41" s="12"/>
      <c r="O41" s="12"/>
    </row>
    <row r="42" spans="1:15" x14ac:dyDescent="0.25">
      <c r="A42" s="9" t="s">
        <v>168</v>
      </c>
      <c r="B42" s="15"/>
      <c r="C42" s="5">
        <f>C38+C40</f>
        <v>23273912.059306569</v>
      </c>
      <c r="D42" s="5">
        <f t="shared" ref="D42:H42" si="7">D38+D40</f>
        <v>22097325.680878829</v>
      </c>
      <c r="E42" s="5">
        <f t="shared" si="7"/>
        <v>21345322.930628184</v>
      </c>
      <c r="F42" s="5">
        <f t="shared" si="7"/>
        <v>19770894.799728408</v>
      </c>
      <c r="G42" s="5">
        <f t="shared" si="7"/>
        <v>19667449.879022792</v>
      </c>
      <c r="H42" s="5">
        <f t="shared" si="7"/>
        <v>17203020.53064058</v>
      </c>
      <c r="I42" s="12"/>
      <c r="J42" s="12"/>
      <c r="K42" s="12"/>
      <c r="L42" s="12"/>
      <c r="M42" s="12"/>
      <c r="N42" s="12"/>
      <c r="O42" s="12"/>
    </row>
    <row r="43" spans="1:15" x14ac:dyDescent="0.25">
      <c r="A43" s="15"/>
      <c r="B43" s="15"/>
      <c r="C43" s="15"/>
      <c r="D43" s="15"/>
      <c r="E43" s="15"/>
      <c r="F43" s="15"/>
      <c r="G43" s="15"/>
      <c r="H43" s="15"/>
      <c r="I43" s="12"/>
      <c r="J43" s="12"/>
      <c r="K43" s="12"/>
      <c r="L43" s="12"/>
      <c r="M43" s="12"/>
      <c r="N43" s="12"/>
      <c r="O43" s="12"/>
    </row>
    <row r="44" spans="1:15" x14ac:dyDescent="0.25">
      <c r="A44" s="8" t="s">
        <v>53</v>
      </c>
      <c r="B44" s="19" t="s">
        <v>55</v>
      </c>
      <c r="C44" s="7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1:15" x14ac:dyDescent="0.25">
      <c r="A45" s="9" t="s">
        <v>180</v>
      </c>
      <c r="B45" s="112">
        <f>Summary!B5</f>
        <v>0.05</v>
      </c>
      <c r="C45" s="29">
        <v>0.6</v>
      </c>
      <c r="D45" s="30">
        <f>C46*(1+$B45)</f>
        <v>0.63</v>
      </c>
      <c r="E45" s="30">
        <f>D46*(1+$B45)</f>
        <v>0.66150000000000009</v>
      </c>
      <c r="F45" s="30">
        <f>E46*(1+$B45)</f>
        <v>0.69457500000000016</v>
      </c>
      <c r="G45" s="30">
        <f>F46*(1+$B45)</f>
        <v>0.72930375000000025</v>
      </c>
      <c r="H45" s="30">
        <f>G46*(1+$B45)</f>
        <v>0.7657689375000003</v>
      </c>
      <c r="I45" s="12"/>
      <c r="J45" s="12"/>
      <c r="K45" s="12"/>
      <c r="L45" s="12"/>
      <c r="M45" s="12"/>
      <c r="N45" s="12"/>
      <c r="O45" s="12"/>
    </row>
    <row r="46" spans="1:15" x14ac:dyDescent="0.25">
      <c r="A46" s="9" t="s">
        <v>181</v>
      </c>
      <c r="B46" s="12"/>
      <c r="C46" s="30">
        <f>C45</f>
        <v>0.6</v>
      </c>
      <c r="D46" s="30">
        <f>D45</f>
        <v>0.63</v>
      </c>
      <c r="E46" s="30">
        <f>E45</f>
        <v>0.66150000000000009</v>
      </c>
      <c r="F46" s="30">
        <f>F45</f>
        <v>0.69457500000000016</v>
      </c>
      <c r="G46" s="30">
        <f>G45</f>
        <v>0.72930375000000025</v>
      </c>
      <c r="H46" s="30">
        <f>H45</f>
        <v>0.7657689375000003</v>
      </c>
      <c r="I46" s="12"/>
      <c r="J46" s="12"/>
      <c r="K46" s="12"/>
      <c r="L46" s="12"/>
      <c r="M46" s="12"/>
      <c r="N46" s="12"/>
      <c r="O46" s="12"/>
    </row>
    <row r="47" spans="1:15" x14ac:dyDescent="0.25">
      <c r="A47" s="9" t="s">
        <v>182</v>
      </c>
      <c r="B47" s="31">
        <f>B45</f>
        <v>0.05</v>
      </c>
      <c r="C47" s="29">
        <v>0.3</v>
      </c>
      <c r="D47" s="30">
        <f>C48*(1+$B47)</f>
        <v>0.315</v>
      </c>
      <c r="E47" s="30">
        <f>D48*(1+$B47)</f>
        <v>0.33075000000000004</v>
      </c>
      <c r="F47" s="30">
        <f>E48*(1+$B47)</f>
        <v>0.34728750000000008</v>
      </c>
      <c r="G47" s="30">
        <f>F48*(1+$B47)</f>
        <v>0.36465187500000013</v>
      </c>
      <c r="H47" s="30">
        <f>G48*(1+$B47)</f>
        <v>0.38288446875000015</v>
      </c>
      <c r="I47" s="12"/>
      <c r="J47" s="12"/>
      <c r="K47" s="12"/>
      <c r="L47" s="12"/>
      <c r="M47" s="12"/>
      <c r="N47" s="12"/>
      <c r="O47" s="12"/>
    </row>
    <row r="48" spans="1:15" x14ac:dyDescent="0.25">
      <c r="A48" s="9" t="s">
        <v>183</v>
      </c>
      <c r="B48" s="12"/>
      <c r="C48" s="30">
        <f>C47</f>
        <v>0.3</v>
      </c>
      <c r="D48" s="30">
        <f>D47</f>
        <v>0.315</v>
      </c>
      <c r="E48" s="30">
        <f>E47</f>
        <v>0.33075000000000004</v>
      </c>
      <c r="F48" s="30">
        <f>F47</f>
        <v>0.34728750000000008</v>
      </c>
      <c r="G48" s="30">
        <f>G47</f>
        <v>0.36465187500000013</v>
      </c>
      <c r="H48" s="30">
        <f>H47</f>
        <v>0.38288446875000015</v>
      </c>
      <c r="I48" s="12"/>
      <c r="J48" s="12"/>
      <c r="K48" s="12"/>
      <c r="L48" s="12"/>
      <c r="M48" s="12"/>
      <c r="N48" s="12"/>
      <c r="O48" s="12"/>
    </row>
    <row r="49" spans="1:15" x14ac:dyDescent="0.25">
      <c r="A49" s="8" t="s">
        <v>56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1:15" x14ac:dyDescent="0.25">
      <c r="A50" s="9" t="s">
        <v>180</v>
      </c>
      <c r="B50" s="19" t="s">
        <v>55</v>
      </c>
      <c r="C50" s="7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1:15" x14ac:dyDescent="0.25">
      <c r="A51" s="9" t="s">
        <v>181</v>
      </c>
      <c r="B51" s="113">
        <f>Summary!B7</f>
        <v>0.05</v>
      </c>
      <c r="C51" s="114">
        <f>Summary!B6</f>
        <v>0.6</v>
      </c>
      <c r="D51" s="30">
        <f>C52*(1+$B51)</f>
        <v>0.63</v>
      </c>
      <c r="E51" s="30">
        <f>D52*(1+$B51)</f>
        <v>0.66150000000000009</v>
      </c>
      <c r="F51" s="30">
        <f>E52*(1+$B51)</f>
        <v>0.69457500000000016</v>
      </c>
      <c r="G51" s="30">
        <f>F52*(1+$B51)</f>
        <v>0.72930375000000025</v>
      </c>
      <c r="H51" s="30">
        <f>G52*(1+$B51)</f>
        <v>0.7657689375000003</v>
      </c>
      <c r="I51" s="12"/>
      <c r="J51" s="12"/>
      <c r="K51" s="12"/>
      <c r="L51" s="12"/>
      <c r="M51" s="12"/>
      <c r="N51" s="12"/>
      <c r="O51" s="12"/>
    </row>
    <row r="52" spans="1:15" x14ac:dyDescent="0.25">
      <c r="A52" s="9" t="s">
        <v>182</v>
      </c>
      <c r="B52" s="12"/>
      <c r="C52" s="31">
        <f>C51</f>
        <v>0.6</v>
      </c>
      <c r="D52" s="31">
        <f>D51</f>
        <v>0.63</v>
      </c>
      <c r="E52" s="31">
        <f>E51</f>
        <v>0.66150000000000009</v>
      </c>
      <c r="F52" s="31">
        <f>F51</f>
        <v>0.69457500000000016</v>
      </c>
      <c r="G52" s="31">
        <f>G51</f>
        <v>0.72930375000000025</v>
      </c>
      <c r="H52" s="31">
        <f>H51</f>
        <v>0.7657689375000003</v>
      </c>
      <c r="I52" s="12"/>
      <c r="J52" s="12"/>
      <c r="K52" s="12"/>
      <c r="L52" s="12"/>
      <c r="M52" s="12"/>
      <c r="N52" s="12"/>
      <c r="O52" s="12"/>
    </row>
    <row r="53" spans="1:15" x14ac:dyDescent="0.25">
      <c r="A53" s="9" t="s">
        <v>183</v>
      </c>
      <c r="B53" s="115">
        <f>B51</f>
        <v>0.05</v>
      </c>
      <c r="C53" s="31">
        <f>C51</f>
        <v>0.6</v>
      </c>
      <c r="D53" s="30">
        <f>C54*(1+$B53)</f>
        <v>0.63</v>
      </c>
      <c r="E53" s="30">
        <f>D54*(1+$B53)</f>
        <v>0.66150000000000009</v>
      </c>
      <c r="F53" s="30">
        <f>E54*(1+$B53)</f>
        <v>0.69457500000000016</v>
      </c>
      <c r="G53" s="30">
        <f>F54*(1+$B53)</f>
        <v>0.72930375000000025</v>
      </c>
      <c r="H53" s="30">
        <f>G54*(1+$B53)</f>
        <v>0.7657689375000003</v>
      </c>
      <c r="I53" s="12"/>
      <c r="J53" s="12"/>
      <c r="K53" s="12"/>
      <c r="L53" s="12"/>
      <c r="M53" s="12"/>
      <c r="N53" s="12"/>
      <c r="O53" s="12"/>
    </row>
    <row r="54" spans="1:15" x14ac:dyDescent="0.25">
      <c r="A54" s="12"/>
      <c r="B54" s="12"/>
      <c r="C54" s="31">
        <f>C53</f>
        <v>0.6</v>
      </c>
      <c r="D54" s="31">
        <f>D53</f>
        <v>0.63</v>
      </c>
      <c r="E54" s="31">
        <f>E53</f>
        <v>0.66150000000000009</v>
      </c>
      <c r="F54" s="31">
        <f>F53</f>
        <v>0.69457500000000016</v>
      </c>
      <c r="G54" s="31">
        <f>G53</f>
        <v>0.72930375000000025</v>
      </c>
      <c r="H54" s="31">
        <f>H53</f>
        <v>0.7657689375000003</v>
      </c>
      <c r="I54" s="12"/>
      <c r="J54" s="12"/>
      <c r="K54" s="12"/>
      <c r="L54" s="12"/>
      <c r="M54" s="12"/>
      <c r="N54" s="12"/>
      <c r="O54" s="12"/>
    </row>
    <row r="55" spans="1:15" x14ac:dyDescent="0.25">
      <c r="A55" s="8" t="s">
        <v>58</v>
      </c>
      <c r="B55" s="10" t="s">
        <v>156</v>
      </c>
      <c r="C55" s="106">
        <f>C69</f>
        <v>2022</v>
      </c>
      <c r="D55" s="106">
        <f t="shared" ref="D55:H55" si="8">D69</f>
        <v>2023</v>
      </c>
      <c r="E55" s="106">
        <f t="shared" si="8"/>
        <v>2024</v>
      </c>
      <c r="F55" s="106">
        <f t="shared" si="8"/>
        <v>2025</v>
      </c>
      <c r="G55" s="106">
        <f t="shared" si="8"/>
        <v>2026</v>
      </c>
      <c r="H55" s="106">
        <f t="shared" si="8"/>
        <v>2027</v>
      </c>
      <c r="I55" s="12"/>
      <c r="J55" s="12"/>
      <c r="K55" s="12"/>
      <c r="L55" s="12"/>
      <c r="M55" s="12"/>
      <c r="N55" s="12"/>
      <c r="O55" s="12"/>
    </row>
    <row r="56" spans="1:15" x14ac:dyDescent="0.25">
      <c r="A56" s="9" t="s">
        <v>180</v>
      </c>
      <c r="B56" s="23"/>
      <c r="C56" s="21">
        <f>C51*(C3+C5)*(C45*C31)</f>
        <v>6636286.2035356769</v>
      </c>
      <c r="D56" s="21">
        <f>D51*(D3+D5)*(D45*D31)</f>
        <v>6764894.3693740079</v>
      </c>
      <c r="E56" s="21">
        <f>E51*(E3+E5)*(E45*E31)</f>
        <v>7168771.9766249387</v>
      </c>
      <c r="F56" s="21">
        <f>F51*(F3+F5)*(F45*F31)</f>
        <v>7040928.9394036084</v>
      </c>
      <c r="G56" s="21">
        <f>G51*(G3+G5)*(G45*G31)</f>
        <v>7991866.8970604073</v>
      </c>
      <c r="H56" s="21">
        <f>H51*(H3+H5)*(H45*H31)</f>
        <v>8946050.005934637</v>
      </c>
      <c r="I56" s="12"/>
      <c r="J56" s="12"/>
      <c r="K56" s="12"/>
      <c r="L56" s="12"/>
      <c r="M56" s="12"/>
      <c r="N56" s="12"/>
      <c r="O56" s="12"/>
    </row>
    <row r="57" spans="1:15" x14ac:dyDescent="0.25">
      <c r="A57" s="9" t="s">
        <v>181</v>
      </c>
      <c r="B57" s="23"/>
      <c r="C57" s="21">
        <f>C52*(C4+C6)*(C46*C32)</f>
        <v>5718286.2035356769</v>
      </c>
      <c r="D57" s="21">
        <f>D52*(D4+D6)*(D46*D32)</f>
        <v>5917247.2956460072</v>
      </c>
      <c r="E57" s="21">
        <f>E52*(E4+E6)*(E46*E32)</f>
        <v>6301658.7967412891</v>
      </c>
      <c r="F57" s="21">
        <f>F52*(F4+F6)*(F46*F32)</f>
        <v>6332763.8980578743</v>
      </c>
      <c r="G57" s="21">
        <f>G52*(G4+G6)*(G46*G32)</f>
        <v>7087088.2552136257</v>
      </c>
      <c r="H57" s="21">
        <f>H52*(H4+H6)*(H46*H32)</f>
        <v>7512117.193710532</v>
      </c>
      <c r="I57" s="12"/>
      <c r="J57" s="12"/>
      <c r="K57" s="12"/>
      <c r="L57" s="12"/>
      <c r="M57" s="12"/>
      <c r="N57" s="12"/>
      <c r="O57" s="12"/>
    </row>
    <row r="58" spans="1:15" x14ac:dyDescent="0.25">
      <c r="A58" s="9" t="s">
        <v>182</v>
      </c>
      <c r="B58" s="23"/>
      <c r="C58" s="21">
        <f>C53*C47*C33*((C7*$B$20)+(C9*$B$22))</f>
        <v>1405653.0689073438</v>
      </c>
      <c r="D58" s="21">
        <f>D53*D47*D33*((D7*$B$20)+(D9*$B$22))</f>
        <v>1523977.6017131603</v>
      </c>
      <c r="E58" s="21">
        <f>E53*E47*E33*((E7*$B$20)+(E9*$B$22))</f>
        <v>1630130.9776257761</v>
      </c>
      <c r="F58" s="21">
        <f>F53*F47*F33*((F7*$B$20)+(F9*$B$22))</f>
        <v>1741737.6775620726</v>
      </c>
      <c r="G58" s="21">
        <f>G53*G47*G33*((G7*$B$20)+(G9*$B$22))</f>
        <v>1829482.6642856889</v>
      </c>
      <c r="H58" s="21">
        <f>H53*H47*H33*((H7*$B$20)+(H9*$B$22))</f>
        <v>1641592.4531245455</v>
      </c>
      <c r="I58" s="12"/>
      <c r="J58" s="12"/>
      <c r="K58" s="12"/>
      <c r="L58" s="12"/>
      <c r="M58" s="12"/>
      <c r="N58" s="12"/>
      <c r="O58" s="12"/>
    </row>
    <row r="59" spans="1:15" x14ac:dyDescent="0.25">
      <c r="A59" s="9" t="s">
        <v>183</v>
      </c>
      <c r="B59" s="23"/>
      <c r="C59" s="4">
        <f>C54*C48*C34*((C8*$B$20)+(C10*$B$22))</f>
        <v>1330161.0689073438</v>
      </c>
      <c r="D59" s="4">
        <f>D54*D48*D34*((D8*$B$20)+(D10*$B$22))</f>
        <v>1426590.6335474001</v>
      </c>
      <c r="E59" s="4">
        <f>E54*E48*E34*((E8*$B$20)+(E10*$B$22))</f>
        <v>1519337.8191097942</v>
      </c>
      <c r="F59" s="4">
        <f>F54*F48*F34*((F8*$B$20)+(F10*$B$22))</f>
        <v>1602698.2387979389</v>
      </c>
      <c r="G59" s="4">
        <f>G54*G48*G34*((G8*$B$20)+(G10*$B$22))</f>
        <v>1686856.432451128</v>
      </c>
      <c r="H59" s="4">
        <f>H54*H48*H34*((H8*$B$20)+(H10*$B$22))</f>
        <v>1287884.7903511785</v>
      </c>
      <c r="I59" s="12"/>
      <c r="J59" s="12"/>
      <c r="K59" s="12"/>
      <c r="L59" s="12"/>
      <c r="M59" s="12"/>
      <c r="N59" s="12"/>
      <c r="O59" s="12"/>
    </row>
    <row r="60" spans="1:15" x14ac:dyDescent="0.25">
      <c r="A60" s="9" t="s">
        <v>167</v>
      </c>
      <c r="B60" s="23"/>
      <c r="C60" s="32">
        <f>C56+C58</f>
        <v>8041939.2724430207</v>
      </c>
      <c r="D60" s="32">
        <f t="shared" ref="D60:H60" si="9">D56+D58</f>
        <v>8288871.971087168</v>
      </c>
      <c r="E60" s="32">
        <f t="shared" si="9"/>
        <v>8798902.9542507157</v>
      </c>
      <c r="F60" s="32">
        <f t="shared" si="9"/>
        <v>8782666.6169656813</v>
      </c>
      <c r="G60" s="32">
        <f t="shared" si="9"/>
        <v>9821349.5613460969</v>
      </c>
      <c r="H60" s="32">
        <f t="shared" si="9"/>
        <v>10587642.459059183</v>
      </c>
      <c r="I60" s="12"/>
      <c r="J60" s="12"/>
      <c r="K60" s="12"/>
      <c r="L60" s="12"/>
      <c r="M60" s="12"/>
      <c r="N60" s="12"/>
      <c r="O60" s="12"/>
    </row>
    <row r="61" spans="1:15" x14ac:dyDescent="0.25">
      <c r="A61" s="9" t="s">
        <v>168</v>
      </c>
      <c r="B61" s="23"/>
      <c r="C61" s="32">
        <f>C57+C59</f>
        <v>7048447.2724430207</v>
      </c>
      <c r="D61" s="32">
        <f t="shared" ref="D61:H61" si="10">D57+D59</f>
        <v>7343837.9291934073</v>
      </c>
      <c r="E61" s="32">
        <f t="shared" si="10"/>
        <v>7820996.6158510838</v>
      </c>
      <c r="F61" s="32">
        <f t="shared" si="10"/>
        <v>7935462.1368558127</v>
      </c>
      <c r="G61" s="32">
        <f t="shared" si="10"/>
        <v>8773944.6876647547</v>
      </c>
      <c r="H61" s="32">
        <f t="shared" si="10"/>
        <v>8800001.9840617105</v>
      </c>
      <c r="I61" s="12"/>
      <c r="J61" s="12"/>
      <c r="K61" s="12"/>
      <c r="L61" s="12"/>
      <c r="M61" s="12"/>
      <c r="N61" s="12"/>
      <c r="O61" s="12"/>
    </row>
    <row r="62" spans="1:15" x14ac:dyDescent="0.25">
      <c r="A62" s="12"/>
      <c r="B62" s="23"/>
      <c r="C62" s="23"/>
      <c r="D62" s="23"/>
      <c r="E62" s="23"/>
      <c r="F62" s="23"/>
      <c r="G62" s="23"/>
      <c r="H62" s="23"/>
      <c r="I62" s="12"/>
      <c r="J62" s="12"/>
      <c r="K62" s="12"/>
      <c r="L62" s="12"/>
      <c r="M62" s="12"/>
      <c r="N62" s="12"/>
      <c r="O62" s="12"/>
    </row>
    <row r="63" spans="1:15" x14ac:dyDescent="0.25">
      <c r="A63" s="19" t="s">
        <v>184</v>
      </c>
      <c r="B63" s="23"/>
      <c r="C63" s="3">
        <f>C41-C60</f>
        <v>18201372.786863551</v>
      </c>
      <c r="D63" s="3">
        <f>D41-D60</f>
        <v>16434860.890591662</v>
      </c>
      <c r="E63" s="3">
        <f>E41-E60</f>
        <v>15034408.227536224</v>
      </c>
      <c r="F63" s="3">
        <f>F41-F60</f>
        <v>13032534.841382235</v>
      </c>
      <c r="G63" s="3">
        <f>G41-G60</f>
        <v>12083488.912820244</v>
      </c>
      <c r="H63" s="3">
        <f>H41-H60</f>
        <v>10267050.299976788</v>
      </c>
      <c r="I63" s="12"/>
      <c r="J63" s="12"/>
      <c r="K63" s="12"/>
      <c r="L63" s="12"/>
      <c r="M63" s="12"/>
      <c r="N63" s="12"/>
      <c r="O63" s="12"/>
    </row>
    <row r="64" spans="1:15" x14ac:dyDescent="0.25">
      <c r="A64" s="19" t="s">
        <v>185</v>
      </c>
      <c r="B64" s="23"/>
      <c r="C64" s="3">
        <f>C42-C61</f>
        <v>16225464.786863549</v>
      </c>
      <c r="D64" s="3">
        <f>D42-D61</f>
        <v>14753487.751685422</v>
      </c>
      <c r="E64" s="3">
        <f>E42-E61</f>
        <v>13524326.3147771</v>
      </c>
      <c r="F64" s="3">
        <f>F42-F61</f>
        <v>11835432.662872596</v>
      </c>
      <c r="G64" s="3">
        <f>G42-G61</f>
        <v>10893505.191358037</v>
      </c>
      <c r="H64" s="3">
        <f>H42-H61</f>
        <v>8403018.5465788692</v>
      </c>
      <c r="I64" s="12"/>
      <c r="J64" s="12"/>
      <c r="K64" s="12"/>
      <c r="L64" s="12"/>
      <c r="M64" s="12"/>
      <c r="N64" s="12"/>
      <c r="O64" s="12"/>
    </row>
    <row r="65" spans="1:15" x14ac:dyDescent="0.25">
      <c r="A65" s="12"/>
      <c r="B65" s="23"/>
      <c r="C65" s="59"/>
      <c r="D65" s="59"/>
      <c r="E65" s="59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1:15" x14ac:dyDescent="0.25">
      <c r="A66" s="8" t="s">
        <v>186</v>
      </c>
      <c r="B66" s="23"/>
      <c r="C66" s="30">
        <f>C60/C41</f>
        <v>0.30643766511899312</v>
      </c>
      <c r="D66" s="30">
        <f>D60/D41</f>
        <v>0.33525972867692294</v>
      </c>
      <c r="E66" s="30">
        <f>E60/E41</f>
        <v>0.36918508247291743</v>
      </c>
      <c r="F66" s="30">
        <f>F60/F41</f>
        <v>0.40259388086488934</v>
      </c>
      <c r="G66" s="30">
        <f>G60/G41</f>
        <v>0.44836439095083902</v>
      </c>
      <c r="H66" s="30">
        <f>H60/H41</f>
        <v>0.50768633138801544</v>
      </c>
      <c r="I66" s="12"/>
      <c r="J66" s="12"/>
      <c r="K66" s="12"/>
      <c r="L66" s="12"/>
      <c r="M66" s="12"/>
      <c r="N66" s="12"/>
      <c r="O66" s="12"/>
    </row>
    <row r="67" spans="1:15" x14ac:dyDescent="0.25">
      <c r="A67" s="8" t="s">
        <v>187</v>
      </c>
      <c r="B67" s="23"/>
      <c r="C67" s="30">
        <f>C61/C42</f>
        <v>0.30284755113288092</v>
      </c>
      <c r="D67" s="30">
        <f>D61/D42</f>
        <v>0.33234057529179417</v>
      </c>
      <c r="E67" s="30">
        <f>E61/E42</f>
        <v>0.36640329318367054</v>
      </c>
      <c r="F67" s="30">
        <f>F61/F42</f>
        <v>0.40137091503642119</v>
      </c>
      <c r="G67" s="30">
        <f>G61/G42</f>
        <v>0.44611501448507579</v>
      </c>
      <c r="H67" s="30">
        <f>H61/H42</f>
        <v>0.51153818995843692</v>
      </c>
      <c r="I67" s="12"/>
      <c r="J67" s="12"/>
      <c r="K67" s="12"/>
      <c r="L67" s="12"/>
      <c r="M67" s="12"/>
      <c r="N67" s="12"/>
      <c r="O67" s="12"/>
    </row>
    <row r="68" spans="1:15" x14ac:dyDescent="0.25">
      <c r="A68" s="71"/>
      <c r="B68" s="23"/>
      <c r="C68" s="91"/>
      <c r="D68" s="30"/>
      <c r="E68" s="91"/>
      <c r="F68" s="30"/>
      <c r="G68" s="91"/>
      <c r="H68" s="30"/>
      <c r="I68" s="12"/>
      <c r="J68" s="12"/>
      <c r="K68" s="12"/>
      <c r="L68" s="12"/>
      <c r="M68" s="12"/>
      <c r="N68" s="12"/>
      <c r="O68" s="12"/>
    </row>
    <row r="69" spans="1:15" x14ac:dyDescent="0.25">
      <c r="A69" s="71"/>
      <c r="B69" s="10" t="s">
        <v>127</v>
      </c>
      <c r="C69" s="90">
        <f>Summary!F3</f>
        <v>2022</v>
      </c>
      <c r="D69" s="90">
        <f>Summary!G3</f>
        <v>2023</v>
      </c>
      <c r="E69" s="90">
        <f>Summary!H3</f>
        <v>2024</v>
      </c>
      <c r="F69" s="90">
        <f>Summary!I3</f>
        <v>2025</v>
      </c>
      <c r="G69" s="90">
        <f>Summary!J3</f>
        <v>2026</v>
      </c>
      <c r="H69" s="90">
        <f>Summary!K3</f>
        <v>2027</v>
      </c>
      <c r="I69" s="12"/>
      <c r="J69" s="12"/>
      <c r="K69" s="12"/>
      <c r="L69" s="12"/>
      <c r="M69" s="12"/>
      <c r="N69" s="12"/>
      <c r="O69" s="12"/>
    </row>
    <row r="70" spans="1:15" x14ac:dyDescent="0.25">
      <c r="A70" s="40" t="s">
        <v>80</v>
      </c>
      <c r="B70" s="13"/>
      <c r="C70" s="13"/>
      <c r="D70" s="103">
        <f>Summary!B10</f>
        <v>500000</v>
      </c>
      <c r="E70" s="104">
        <f>-D70</f>
        <v>-500000</v>
      </c>
      <c r="F70" s="1">
        <v>0</v>
      </c>
      <c r="G70" s="1">
        <v>0</v>
      </c>
      <c r="H70" s="1">
        <v>0</v>
      </c>
      <c r="I70" s="12"/>
      <c r="J70" s="12"/>
      <c r="K70" s="12"/>
      <c r="L70" s="12"/>
      <c r="M70" s="12"/>
      <c r="N70" s="12"/>
      <c r="O70" s="12"/>
    </row>
    <row r="71" spans="1:15" x14ac:dyDescent="0.25">
      <c r="A71" s="40" t="s">
        <v>81</v>
      </c>
      <c r="B71" s="12"/>
      <c r="C71" s="12"/>
      <c r="D71" s="1">
        <v>50000</v>
      </c>
      <c r="E71" s="1">
        <v>-50000</v>
      </c>
      <c r="F71" s="1">
        <v>0</v>
      </c>
      <c r="G71" s="1">
        <v>0</v>
      </c>
      <c r="H71" s="1">
        <v>0</v>
      </c>
      <c r="I71" s="12"/>
      <c r="J71" s="12"/>
      <c r="K71" s="12"/>
      <c r="L71" s="12"/>
      <c r="M71" s="12"/>
      <c r="N71" s="12"/>
      <c r="O71" s="12"/>
    </row>
    <row r="72" spans="1:15" x14ac:dyDescent="0.25">
      <c r="A72" s="12"/>
      <c r="B72" s="89" t="str">
        <f>"Annual Rate above Inflation of "&amp;TEXT(Summary!B23,"0.0%")</f>
        <v>Annual Rate above Inflation of 2.0%</v>
      </c>
      <c r="C72" s="88"/>
      <c r="D72" s="88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5" x14ac:dyDescent="0.25">
      <c r="A73" s="8" t="str">
        <f>Summary!E7</f>
        <v>Gifts</v>
      </c>
      <c r="B73" s="112">
        <f>Summary!B8</f>
        <v>0</v>
      </c>
      <c r="C73" s="1">
        <v>3000000</v>
      </c>
      <c r="D73" s="5">
        <f>IF(D70&lt;0,0,D70)+(C73+IF(D70&lt;0,D70,0))*(1+$B73+Summary!$B$23)</f>
        <v>3560000</v>
      </c>
      <c r="E73" s="5">
        <f>IF(E70&lt;0,0,E70)+(D73+IF(E70&lt;0,E70,0))*(1+$B73+Summary!$B$23)</f>
        <v>3121200</v>
      </c>
      <c r="F73" s="5">
        <f>IF(F70&lt;0,0,F70)+(E73+IF(F70&lt;0,F70,0))*(1+$B73+Summary!$B$23)</f>
        <v>3183624</v>
      </c>
      <c r="G73" s="5">
        <f>IF(G70&lt;0,0,G70)+(F73+IF(G70&lt;0,G70,0))*(1+$B73+Summary!$B$23)</f>
        <v>3247296.48</v>
      </c>
      <c r="H73" s="5">
        <f>IF(H70&lt;0,0,H70)+(G73+IF(H70&lt;0,H70,0))*(1+$B73+Summary!$B$23)</f>
        <v>3312242.4095999999</v>
      </c>
      <c r="I73" s="12"/>
      <c r="J73" s="12"/>
      <c r="K73" s="12"/>
      <c r="L73" s="12"/>
      <c r="M73" s="12"/>
      <c r="N73" s="12"/>
      <c r="O73" s="12"/>
    </row>
    <row r="74" spans="1:15" x14ac:dyDescent="0.25">
      <c r="A74" s="8" t="str">
        <f>Summary!E8</f>
        <v>Miscellaneous</v>
      </c>
      <c r="B74" s="114">
        <f>Summary!B9</f>
        <v>0</v>
      </c>
      <c r="C74" s="1">
        <v>500000</v>
      </c>
      <c r="D74" s="5">
        <f>IF(D71&lt;0,0,D71)+(C74+IF(D71&lt;0,D71,0))*(1+$B74+Summary!$B$23)</f>
        <v>560000</v>
      </c>
      <c r="E74" s="5">
        <f>IF(E71&lt;0,0,E71)+(D74+IF(E71&lt;0,E71,0))*(1+$B74+Summary!$B$23)</f>
        <v>520200</v>
      </c>
      <c r="F74" s="5">
        <f>IF(F71&lt;0,0,F71)+(E74+IF(F71&lt;0,F71,0))*(1+$B74+Summary!$B$23)</f>
        <v>530604</v>
      </c>
      <c r="G74" s="5">
        <f>IF(G71&lt;0,0,G71)+(F74+IF(G71&lt;0,G71,0))*(1+$B74+Summary!$B$23)</f>
        <v>541216.07999999996</v>
      </c>
      <c r="H74" s="5">
        <f>IF(H71&lt;0,0,H71)+(G74+IF(H71&lt;0,H71,0))*(1+$B74+Summary!$B$23)</f>
        <v>552040.40159999998</v>
      </c>
      <c r="I74" s="12"/>
      <c r="J74" s="12"/>
      <c r="K74" s="12"/>
      <c r="L74" s="12"/>
      <c r="M74" s="12"/>
      <c r="N74" s="12"/>
      <c r="O74" s="12"/>
    </row>
    <row r="75" spans="1:15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 x14ac:dyDescent="0.25">
      <c r="A76" s="8" t="s">
        <v>122</v>
      </c>
      <c r="B76" s="8" t="s">
        <v>188</v>
      </c>
      <c r="C76" s="97">
        <f>C11/Staffing!B35</f>
        <v>38.386505983186332</v>
      </c>
      <c r="D76" s="97">
        <f>D11/Staffing!C35</f>
        <v>34.153527299073943</v>
      </c>
      <c r="E76" s="97">
        <f>E11/Staffing!D35</f>
        <v>30.884363441516452</v>
      </c>
      <c r="F76" s="97">
        <f>F11/Staffing!E35</f>
        <v>26.837798983700381</v>
      </c>
      <c r="G76" s="97">
        <f>G11/Staffing!F35</f>
        <v>24.383061206953808</v>
      </c>
      <c r="H76" s="97">
        <f>H11/Staffing!G35</f>
        <v>21.526416188775102</v>
      </c>
      <c r="I76" s="12"/>
      <c r="J76" s="12"/>
      <c r="K76" s="12"/>
      <c r="L76" s="12"/>
      <c r="M76" s="12"/>
      <c r="N76" s="12"/>
      <c r="O76" s="12"/>
    </row>
    <row r="77" spans="1:15" x14ac:dyDescent="0.25">
      <c r="A77" s="8" t="s">
        <v>122</v>
      </c>
      <c r="B77" s="8" t="s">
        <v>189</v>
      </c>
      <c r="C77" s="97">
        <f>C12/Staffing!B35</f>
        <v>27.156072643079668</v>
      </c>
      <c r="D77" s="97">
        <f>D12/Staffing!C35</f>
        <v>24.266782102325848</v>
      </c>
      <c r="E77" s="97">
        <f>E12/Staffing!D35</f>
        <v>21.925767488539552</v>
      </c>
      <c r="F77" s="97">
        <f>F12/Staffing!E35</f>
        <v>19.157739686202877</v>
      </c>
      <c r="G77" s="97">
        <f>G12/Staffing!F35</f>
        <v>17.247256634951963</v>
      </c>
      <c r="H77" s="97">
        <f>H12/Staffing!G35</f>
        <v>14.914469408221088</v>
      </c>
      <c r="I77" s="12"/>
      <c r="J77" s="12"/>
      <c r="K77" s="12"/>
      <c r="L77" s="12"/>
      <c r="M77" s="12"/>
      <c r="N77" s="12"/>
      <c r="O77" s="12"/>
    </row>
    <row r="78" spans="1:15" x14ac:dyDescent="0.25">
      <c r="A78" s="8" t="s">
        <v>126</v>
      </c>
      <c r="B78" s="8" t="s">
        <v>188</v>
      </c>
      <c r="C78" s="97">
        <f>C27/Staffing!B36</f>
        <v>17.70071948221273</v>
      </c>
      <c r="D78" s="97">
        <f>D27/Staffing!C36</f>
        <v>16.246372827643118</v>
      </c>
      <c r="E78" s="97">
        <f>E27/Staffing!D36</f>
        <v>15.286763289465018</v>
      </c>
      <c r="F78" s="97">
        <f>F27/Staffing!E36</f>
        <v>13.645337989071299</v>
      </c>
      <c r="G78" s="97">
        <f>G27/Staffing!F36</f>
        <v>12.979376627516315</v>
      </c>
      <c r="H78" s="97">
        <f>H27/Staffing!G36</f>
        <v>12.610812918572808</v>
      </c>
      <c r="I78" s="12"/>
      <c r="J78" s="12"/>
      <c r="K78" s="12"/>
      <c r="L78" s="12"/>
      <c r="M78" s="12"/>
      <c r="N78" s="12"/>
      <c r="O78" s="12"/>
    </row>
    <row r="79" spans="1:15" x14ac:dyDescent="0.25">
      <c r="A79" s="8" t="s">
        <v>126</v>
      </c>
      <c r="B79" s="8" t="s">
        <v>189</v>
      </c>
      <c r="C79" s="97">
        <f>C28/Staffing!B36</f>
        <v>15.341592498085747</v>
      </c>
      <c r="D79" s="97">
        <f>D28/Staffing!C36</f>
        <v>14.180440351758874</v>
      </c>
      <c r="E79" s="97">
        <f>E28/Staffing!D36</f>
        <v>13.357397532390504</v>
      </c>
      <c r="F79" s="97">
        <f>F28/Staffing!E36</f>
        <v>12.049362716505524</v>
      </c>
      <c r="G79" s="97">
        <f>G28/Staffing!F36</f>
        <v>11.342679249890185</v>
      </c>
      <c r="H79" s="97">
        <f>H28/Staffing!F36</f>
        <v>9.7132769223615654</v>
      </c>
      <c r="I79" s="12"/>
      <c r="J79" s="12"/>
      <c r="K79" s="12"/>
      <c r="L79" s="12"/>
      <c r="M79" s="12"/>
      <c r="N79" s="12"/>
      <c r="O79" s="12"/>
    </row>
    <row r="80" spans="1:1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1:15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1:15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1:15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1:15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5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1E16A-3741-4C7F-9462-82F8460DA1BB}">
  <dimension ref="A1:X196"/>
  <sheetViews>
    <sheetView zoomScale="83" zoomScaleNormal="83" workbookViewId="0"/>
  </sheetViews>
  <sheetFormatPr defaultRowHeight="15" x14ac:dyDescent="0.25"/>
  <cols>
    <col min="1" max="1" width="24.5703125" style="93" customWidth="1"/>
    <col min="2" max="5" width="12.42578125" customWidth="1"/>
    <col min="6" max="7" width="10.7109375" customWidth="1"/>
    <col min="8" max="9" width="12.42578125" customWidth="1"/>
    <col min="11" max="15" width="12.7109375" customWidth="1"/>
  </cols>
  <sheetData>
    <row r="1" spans="1:24" ht="15.75" x14ac:dyDescent="0.25">
      <c r="A1" s="99" t="str">
        <f>Summary!A1</f>
        <v>Foggy Mountain College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x14ac:dyDescent="0.25">
      <c r="A2" s="10" t="s">
        <v>45</v>
      </c>
      <c r="B2" s="59"/>
      <c r="C2" s="59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4" ht="30" x14ac:dyDescent="0.25">
      <c r="A3" s="10" t="s">
        <v>101</v>
      </c>
      <c r="B3" s="20" t="s">
        <v>90</v>
      </c>
      <c r="C3" s="20" t="s">
        <v>91</v>
      </c>
      <c r="D3" s="20" t="s">
        <v>92</v>
      </c>
      <c r="E3" s="20" t="s">
        <v>93</v>
      </c>
      <c r="F3" s="20" t="s">
        <v>132</v>
      </c>
      <c r="G3" s="20" t="s">
        <v>133</v>
      </c>
      <c r="H3" s="20" t="s">
        <v>88</v>
      </c>
      <c r="I3" s="20" t="s">
        <v>89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x14ac:dyDescent="0.25">
      <c r="A4" s="9">
        <v>0</v>
      </c>
      <c r="B4" s="29">
        <v>0.2</v>
      </c>
      <c r="C4" s="29">
        <v>0.1</v>
      </c>
      <c r="D4" s="105">
        <f>Summary!B11</f>
        <v>0.1</v>
      </c>
      <c r="E4" s="29">
        <v>0.15</v>
      </c>
      <c r="F4" s="29">
        <v>0</v>
      </c>
      <c r="G4" s="29">
        <v>0</v>
      </c>
      <c r="H4" s="29">
        <v>0</v>
      </c>
      <c r="I4" s="29">
        <v>0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x14ac:dyDescent="0.25">
      <c r="A5" s="9">
        <f>A4+1</f>
        <v>1</v>
      </c>
      <c r="B5" s="29">
        <v>0.21</v>
      </c>
      <c r="C5" s="29">
        <v>0.1</v>
      </c>
      <c r="D5" s="29">
        <v>0.1</v>
      </c>
      <c r="E5" s="29">
        <v>0.15</v>
      </c>
      <c r="F5" s="29">
        <v>0.01</v>
      </c>
      <c r="G5" s="29">
        <v>0.02</v>
      </c>
      <c r="H5" s="29">
        <v>0</v>
      </c>
      <c r="I5" s="29">
        <v>0</v>
      </c>
      <c r="J5" s="12"/>
      <c r="K5" s="15"/>
      <c r="L5" s="15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x14ac:dyDescent="0.25">
      <c r="A6" s="9">
        <f t="shared" ref="A6:A14" si="0">A5+1</f>
        <v>2</v>
      </c>
      <c r="B6" s="29">
        <v>0.22</v>
      </c>
      <c r="C6" s="29">
        <v>0.1</v>
      </c>
      <c r="D6" s="29">
        <v>0.1</v>
      </c>
      <c r="E6" s="29">
        <v>0.15</v>
      </c>
      <c r="F6" s="29">
        <v>0.02</v>
      </c>
      <c r="G6" s="29">
        <v>0.03</v>
      </c>
      <c r="H6" s="29">
        <v>0</v>
      </c>
      <c r="I6" s="29">
        <v>0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 x14ac:dyDescent="0.25">
      <c r="A7" s="9">
        <f t="shared" si="0"/>
        <v>3</v>
      </c>
      <c r="B7" s="29">
        <v>0.23</v>
      </c>
      <c r="C7" s="29">
        <v>0.1</v>
      </c>
      <c r="D7" s="29">
        <v>0.1</v>
      </c>
      <c r="E7" s="29">
        <v>0.15</v>
      </c>
      <c r="F7" s="29">
        <v>0.03</v>
      </c>
      <c r="G7" s="29">
        <v>0.04</v>
      </c>
      <c r="H7" s="29">
        <v>0</v>
      </c>
      <c r="I7" s="29">
        <v>0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 x14ac:dyDescent="0.25">
      <c r="A8" s="9">
        <f t="shared" si="0"/>
        <v>4</v>
      </c>
      <c r="B8" s="29">
        <v>0.24</v>
      </c>
      <c r="C8" s="29">
        <v>0.1</v>
      </c>
      <c r="D8" s="29">
        <v>0.1</v>
      </c>
      <c r="E8" s="29">
        <v>0.15</v>
      </c>
      <c r="F8" s="29">
        <v>0.03</v>
      </c>
      <c r="G8" s="29">
        <v>0.05</v>
      </c>
      <c r="H8" s="29">
        <v>0</v>
      </c>
      <c r="I8" s="29">
        <v>0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4" x14ac:dyDescent="0.25">
      <c r="A9" s="9">
        <f t="shared" si="0"/>
        <v>5</v>
      </c>
      <c r="B9" s="29">
        <v>0.25</v>
      </c>
      <c r="C9" s="29">
        <v>0.1</v>
      </c>
      <c r="D9" s="29">
        <v>0.1</v>
      </c>
      <c r="E9" s="29">
        <v>0.15</v>
      </c>
      <c r="F9" s="29">
        <v>0.03</v>
      </c>
      <c r="G9" s="29">
        <v>0.05</v>
      </c>
      <c r="H9" s="29">
        <v>0</v>
      </c>
      <c r="I9" s="29">
        <v>0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x14ac:dyDescent="0.25">
      <c r="A10" s="9">
        <f t="shared" si="0"/>
        <v>6</v>
      </c>
      <c r="B10" s="29">
        <v>0.26</v>
      </c>
      <c r="C10" s="29">
        <v>0.1</v>
      </c>
      <c r="D10" s="29">
        <v>0.1</v>
      </c>
      <c r="E10" s="29">
        <v>0.15</v>
      </c>
      <c r="F10" s="29">
        <v>0.03</v>
      </c>
      <c r="G10" s="29">
        <v>0.05</v>
      </c>
      <c r="H10" s="29">
        <v>0.01</v>
      </c>
      <c r="I10" s="29">
        <v>0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x14ac:dyDescent="0.25">
      <c r="A11" s="9">
        <f t="shared" si="0"/>
        <v>7</v>
      </c>
      <c r="B11" s="29">
        <v>0.27</v>
      </c>
      <c r="C11" s="29">
        <v>0.1</v>
      </c>
      <c r="D11" s="29">
        <v>0.1</v>
      </c>
      <c r="E11" s="29">
        <v>0.15</v>
      </c>
      <c r="F11" s="29">
        <v>0.03</v>
      </c>
      <c r="G11" s="29">
        <v>0.05</v>
      </c>
      <c r="H11" s="29">
        <v>0.02</v>
      </c>
      <c r="I11" s="29">
        <v>0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 x14ac:dyDescent="0.25">
      <c r="A12" s="9">
        <f t="shared" si="0"/>
        <v>8</v>
      </c>
      <c r="B12" s="29">
        <v>0.28000000000000003</v>
      </c>
      <c r="C12" s="29">
        <v>0.1</v>
      </c>
      <c r="D12" s="29">
        <v>0.1</v>
      </c>
      <c r="E12" s="29">
        <v>0.15</v>
      </c>
      <c r="F12" s="29">
        <v>0.03</v>
      </c>
      <c r="G12" s="29">
        <v>0.05</v>
      </c>
      <c r="H12" s="29">
        <v>0.15</v>
      </c>
      <c r="I12" s="29">
        <v>0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 x14ac:dyDescent="0.25">
      <c r="A13" s="9">
        <f t="shared" si="0"/>
        <v>9</v>
      </c>
      <c r="B13" s="29">
        <v>0.28999999999999998</v>
      </c>
      <c r="C13" s="29">
        <v>0.1</v>
      </c>
      <c r="D13" s="29">
        <v>0.1</v>
      </c>
      <c r="E13" s="29">
        <v>0.15</v>
      </c>
      <c r="F13" s="29">
        <v>0.03</v>
      </c>
      <c r="G13" s="29">
        <v>0.05</v>
      </c>
      <c r="H13" s="29">
        <v>0.15</v>
      </c>
      <c r="I13" s="29">
        <v>0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4" x14ac:dyDescent="0.25">
      <c r="A14" s="9">
        <f t="shared" si="0"/>
        <v>10</v>
      </c>
      <c r="B14" s="29">
        <v>0.3</v>
      </c>
      <c r="C14" s="29">
        <v>0.1</v>
      </c>
      <c r="D14" s="29">
        <v>0.1</v>
      </c>
      <c r="E14" s="29">
        <v>0.15</v>
      </c>
      <c r="F14" s="29">
        <v>0.03</v>
      </c>
      <c r="G14" s="29">
        <v>0.05</v>
      </c>
      <c r="H14" s="29">
        <v>0.15</v>
      </c>
      <c r="I14" s="29">
        <v>0.03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 x14ac:dyDescent="0.25">
      <c r="A15" s="9">
        <f>A14+1</f>
        <v>11</v>
      </c>
      <c r="B15" s="29">
        <v>0.31</v>
      </c>
      <c r="C15" s="29">
        <v>0.1</v>
      </c>
      <c r="D15" s="29">
        <v>0.1</v>
      </c>
      <c r="E15" s="29">
        <v>0.15</v>
      </c>
      <c r="F15" s="29">
        <v>0.03</v>
      </c>
      <c r="G15" s="29">
        <v>0.05</v>
      </c>
      <c r="H15" s="29">
        <v>0.15</v>
      </c>
      <c r="I15" s="29">
        <v>0.04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 x14ac:dyDescent="0.25">
      <c r="A16" s="78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8" t="s">
        <v>119</v>
      </c>
      <c r="M16" s="7"/>
      <c r="N16" s="8" t="str">
        <f>"Coninuing Since  "&amp;$A$18</f>
        <v>Coninuing Since  New Fall 2022</v>
      </c>
      <c r="O16" s="7"/>
      <c r="P16" s="7"/>
      <c r="Q16" s="10" t="s">
        <v>120</v>
      </c>
      <c r="R16" s="12"/>
      <c r="S16" s="12"/>
      <c r="T16" s="12"/>
      <c r="U16" s="12"/>
      <c r="V16" s="12"/>
      <c r="W16" s="12"/>
      <c r="X16" s="12"/>
    </row>
    <row r="17" spans="1:24" x14ac:dyDescent="0.25">
      <c r="A17" s="10" t="s">
        <v>99</v>
      </c>
      <c r="B17" s="11" t="s">
        <v>84</v>
      </c>
      <c r="C17" s="11" t="s">
        <v>85</v>
      </c>
      <c r="D17" s="11" t="s">
        <v>95</v>
      </c>
      <c r="E17" s="11" t="s">
        <v>94</v>
      </c>
      <c r="F17" s="11" t="s">
        <v>86</v>
      </c>
      <c r="G17" s="11" t="s">
        <v>96</v>
      </c>
      <c r="H17" s="11" t="s">
        <v>97</v>
      </c>
      <c r="I17" s="11" t="s">
        <v>83</v>
      </c>
      <c r="J17" s="11" t="s">
        <v>87</v>
      </c>
      <c r="K17" s="11" t="s">
        <v>98</v>
      </c>
      <c r="L17" s="11" t="s">
        <v>102</v>
      </c>
      <c r="M17" s="11" t="s">
        <v>103</v>
      </c>
      <c r="N17" s="11" t="s">
        <v>102</v>
      </c>
      <c r="O17" s="11" t="s">
        <v>103</v>
      </c>
      <c r="P17" s="11" t="s">
        <v>102</v>
      </c>
      <c r="Q17" s="11" t="s">
        <v>103</v>
      </c>
      <c r="R17" s="12"/>
      <c r="S17" s="12"/>
      <c r="T17" s="12"/>
      <c r="U17" s="12"/>
      <c r="V17" s="12"/>
      <c r="W17" s="12"/>
      <c r="X17" s="12"/>
    </row>
    <row r="18" spans="1:24" x14ac:dyDescent="0.25">
      <c r="A18" s="10" t="str">
        <f>"New Fall "&amp;Enrollment!C2</f>
        <v>New Fall 2022</v>
      </c>
      <c r="B18" s="92">
        <f>Enrollment!C3</f>
        <v>400</v>
      </c>
      <c r="C18" s="92">
        <f>Enrollment!C7</f>
        <v>100</v>
      </c>
      <c r="D18" s="3">
        <f>D4*B18</f>
        <v>40</v>
      </c>
      <c r="E18" s="3">
        <f>E4*C18</f>
        <v>15</v>
      </c>
      <c r="F18" s="3">
        <f>D18+E18</f>
        <v>55</v>
      </c>
      <c r="G18" s="3">
        <v>0</v>
      </c>
      <c r="H18" s="3">
        <v>0</v>
      </c>
      <c r="I18" s="3">
        <f>H4*B18+I4*C18</f>
        <v>0</v>
      </c>
      <c r="J18" s="3">
        <f>I18</f>
        <v>0</v>
      </c>
      <c r="K18" s="30">
        <f>J18/(B18+C18)</f>
        <v>0</v>
      </c>
      <c r="L18" s="3">
        <f>L176</f>
        <v>1443.4128343154659</v>
      </c>
      <c r="M18" s="5">
        <f>M176</f>
        <v>1994.217698931086</v>
      </c>
      <c r="N18" s="5">
        <v>0</v>
      </c>
      <c r="O18" s="5">
        <v>0</v>
      </c>
      <c r="P18" s="5">
        <f>L18+N18</f>
        <v>1443.4128343154659</v>
      </c>
      <c r="Q18" s="5">
        <f>M18+O18</f>
        <v>1994.217698931086</v>
      </c>
      <c r="R18" s="12"/>
      <c r="S18" s="12"/>
      <c r="T18" s="12"/>
      <c r="U18" s="12"/>
      <c r="V18" s="12"/>
      <c r="W18" s="12"/>
      <c r="X18" s="12"/>
    </row>
    <row r="19" spans="1:24" x14ac:dyDescent="0.25">
      <c r="A19" s="10" t="str">
        <f>"Spring "&amp;Enrollment!C2</f>
        <v>Spring 2022</v>
      </c>
      <c r="B19" s="3">
        <f>IF(B18-D18+G18-(B18*(B4+H4))+(C18*(C4))&lt;0,0,B18-D18+G18-(B18*(B4+H4))+(C18*(C4)))</f>
        <v>290</v>
      </c>
      <c r="C19" s="3">
        <f t="shared" ref="C19:C29" si="1">IF(C18-E18+H18-(C18*(C4+I4))+(B18*(B4))&lt;0,0,C18-E18+H18-(C18*(C4+I4))+(B18*(B4)))</f>
        <v>155</v>
      </c>
      <c r="D19" s="3">
        <f>D5*B19</f>
        <v>29</v>
      </c>
      <c r="E19" s="3">
        <f>E5*C19</f>
        <v>23.25</v>
      </c>
      <c r="F19" s="3">
        <f>F18+D19+E19</f>
        <v>107.25</v>
      </c>
      <c r="G19" s="3">
        <f>F5*F18</f>
        <v>0.55000000000000004</v>
      </c>
      <c r="H19" s="3">
        <f>G5*F18</f>
        <v>1.1000000000000001</v>
      </c>
      <c r="I19" s="3">
        <f>H5*B19+I5*C19</f>
        <v>0</v>
      </c>
      <c r="J19" s="3">
        <f>J18+I19</f>
        <v>0</v>
      </c>
      <c r="K19" s="30">
        <f t="shared" ref="K19:K29" si="2">J19/(B19+C19)</f>
        <v>0</v>
      </c>
      <c r="L19" s="101"/>
      <c r="M19" s="12"/>
      <c r="N19" s="12"/>
      <c r="O19" s="15"/>
      <c r="P19" s="12"/>
      <c r="Q19" s="12"/>
      <c r="R19" s="12"/>
      <c r="S19" s="12"/>
      <c r="T19" s="12"/>
      <c r="U19" s="12"/>
      <c r="V19" s="12"/>
      <c r="W19" s="12"/>
      <c r="X19" s="12"/>
    </row>
    <row r="20" spans="1:24" x14ac:dyDescent="0.25">
      <c r="A20" s="10" t="str">
        <f>"Fall "&amp;Enrollment!D2</f>
        <v>Fall 2023</v>
      </c>
      <c r="B20" s="3">
        <f t="shared" ref="B20:B29" si="3">IF(B19-D19+G19-(B19*(B5+H5))+(C19*(C5))&lt;0,0,B19-D19+G19-(B19*(B5+H5))+(C19*(C5)))</f>
        <v>216.15</v>
      </c>
      <c r="C20" s="3">
        <f t="shared" si="1"/>
        <v>178.25</v>
      </c>
      <c r="D20" s="3">
        <f t="shared" ref="D20:E20" si="4">D6*B20</f>
        <v>21.615000000000002</v>
      </c>
      <c r="E20" s="3">
        <f t="shared" si="4"/>
        <v>26.737500000000001</v>
      </c>
      <c r="F20" s="3">
        <f t="shared" ref="F20:F29" si="5">F19+D20+E20</f>
        <v>155.60250000000002</v>
      </c>
      <c r="G20" s="3">
        <f t="shared" ref="G20:G29" si="6">F6*F19</f>
        <v>2.145</v>
      </c>
      <c r="H20" s="3">
        <f t="shared" ref="H20:H29" si="7">G6*F19</f>
        <v>3.2174999999999998</v>
      </c>
      <c r="I20" s="3">
        <f t="shared" ref="I20:I29" si="8">H6*B20+I6*C20</f>
        <v>0</v>
      </c>
      <c r="J20" s="3">
        <f t="shared" ref="J20:J29" si="9">J19+I20</f>
        <v>0</v>
      </c>
      <c r="K20" s="30">
        <f t="shared" si="2"/>
        <v>0</v>
      </c>
      <c r="L20" s="101"/>
      <c r="M20" s="12"/>
      <c r="N20" s="12"/>
      <c r="O20" s="15"/>
      <c r="P20" s="12"/>
      <c r="Q20" s="12"/>
      <c r="R20" s="12"/>
      <c r="S20" s="12"/>
      <c r="T20" s="12"/>
      <c r="U20" s="12"/>
      <c r="V20" s="12"/>
      <c r="W20" s="12"/>
      <c r="X20" s="12"/>
    </row>
    <row r="21" spans="1:24" x14ac:dyDescent="0.25">
      <c r="A21" s="10" t="str">
        <f>"Spring "&amp;Enrollment!D2</f>
        <v>Spring 2023</v>
      </c>
      <c r="B21" s="3">
        <f t="shared" si="3"/>
        <v>166.952</v>
      </c>
      <c r="C21" s="3">
        <f t="shared" si="1"/>
        <v>184.458</v>
      </c>
      <c r="D21" s="3">
        <f t="shared" ref="D21:E21" si="10">D7*B21</f>
        <v>16.6952</v>
      </c>
      <c r="E21" s="3">
        <f t="shared" si="10"/>
        <v>27.668699999999998</v>
      </c>
      <c r="F21" s="3">
        <f t="shared" si="5"/>
        <v>199.96640000000002</v>
      </c>
      <c r="G21" s="3">
        <f t="shared" si="6"/>
        <v>4.6680750000000009</v>
      </c>
      <c r="H21" s="3">
        <f t="shared" si="7"/>
        <v>6.2241000000000009</v>
      </c>
      <c r="I21" s="3">
        <f t="shared" si="8"/>
        <v>0</v>
      </c>
      <c r="J21" s="3">
        <f t="shared" si="9"/>
        <v>0</v>
      </c>
      <c r="K21" s="30">
        <f t="shared" si="2"/>
        <v>0</v>
      </c>
      <c r="L21" s="101"/>
      <c r="M21" s="12"/>
      <c r="N21" s="12"/>
      <c r="O21" s="15"/>
      <c r="P21" s="12"/>
      <c r="Q21" s="12"/>
      <c r="R21" s="12"/>
      <c r="S21" s="12"/>
      <c r="T21" s="12"/>
      <c r="U21" s="12"/>
      <c r="V21" s="12"/>
      <c r="W21" s="12"/>
      <c r="X21" s="12"/>
    </row>
    <row r="22" spans="1:24" x14ac:dyDescent="0.25">
      <c r="A22" s="10" t="str">
        <f>"Fall "&amp;Enrollment!E2</f>
        <v>Fall 2024</v>
      </c>
      <c r="B22" s="3">
        <f t="shared" si="3"/>
        <v>134.97171499999999</v>
      </c>
      <c r="C22" s="3">
        <f t="shared" si="1"/>
        <v>182.96656000000002</v>
      </c>
      <c r="D22" s="3">
        <f t="shared" ref="D22:E22" si="11">D8*B22</f>
        <v>13.4971715</v>
      </c>
      <c r="E22" s="3">
        <f t="shared" si="11"/>
        <v>27.444984000000002</v>
      </c>
      <c r="F22" s="3">
        <f t="shared" si="5"/>
        <v>240.90855550000003</v>
      </c>
      <c r="G22" s="3">
        <f t="shared" si="6"/>
        <v>5.9989920000000003</v>
      </c>
      <c r="H22" s="3">
        <f t="shared" si="7"/>
        <v>9.9983200000000014</v>
      </c>
      <c r="I22" s="3">
        <f t="shared" si="8"/>
        <v>0</v>
      </c>
      <c r="J22" s="3">
        <f t="shared" si="9"/>
        <v>0</v>
      </c>
      <c r="K22" s="30">
        <f t="shared" si="2"/>
        <v>0</v>
      </c>
      <c r="L22" s="101"/>
      <c r="M22" s="12"/>
      <c r="N22" s="12"/>
      <c r="O22" s="15"/>
      <c r="P22" s="12"/>
      <c r="Q22" s="12"/>
      <c r="R22" s="12"/>
      <c r="S22" s="12"/>
      <c r="T22" s="12"/>
      <c r="U22" s="12"/>
      <c r="V22" s="12"/>
      <c r="W22" s="12"/>
      <c r="X22" s="12"/>
    </row>
    <row r="23" spans="1:24" x14ac:dyDescent="0.25">
      <c r="A23" s="10" t="str">
        <f>"Spring "&amp;Enrollment!E2</f>
        <v>Spring 2024</v>
      </c>
      <c r="B23" s="3">
        <f t="shared" si="3"/>
        <v>113.37697989999999</v>
      </c>
      <c r="C23" s="3">
        <f t="shared" si="1"/>
        <v>179.6164516</v>
      </c>
      <c r="D23" s="3">
        <f t="shared" ref="D23:E23" si="12">D9*B23</f>
        <v>11.337697990000001</v>
      </c>
      <c r="E23" s="3">
        <f t="shared" si="12"/>
        <v>26.942467740000001</v>
      </c>
      <c r="F23" s="3">
        <f t="shared" si="5"/>
        <v>279.18872123000006</v>
      </c>
      <c r="G23" s="3">
        <f t="shared" si="6"/>
        <v>7.2272566650000005</v>
      </c>
      <c r="H23" s="3">
        <f t="shared" si="7"/>
        <v>12.045427775000002</v>
      </c>
      <c r="I23" s="3">
        <f t="shared" si="8"/>
        <v>0</v>
      </c>
      <c r="J23" s="3">
        <f t="shared" si="9"/>
        <v>0</v>
      </c>
      <c r="K23" s="30">
        <f t="shared" si="2"/>
        <v>0</v>
      </c>
      <c r="L23" s="101"/>
      <c r="M23" s="12"/>
      <c r="N23" s="12"/>
      <c r="O23" s="15"/>
      <c r="P23" s="12"/>
      <c r="Q23" s="12"/>
      <c r="R23" s="12"/>
      <c r="S23" s="12"/>
      <c r="T23" s="12"/>
      <c r="U23" s="12"/>
      <c r="V23" s="12"/>
      <c r="W23" s="12"/>
      <c r="X23" s="12"/>
    </row>
    <row r="24" spans="1:24" x14ac:dyDescent="0.25">
      <c r="A24" s="10" t="str">
        <f>"Fall "&amp;Enrollment!F2</f>
        <v>Fall 2025</v>
      </c>
      <c r="B24" s="3">
        <f t="shared" si="3"/>
        <v>98.883938760000007</v>
      </c>
      <c r="C24" s="3">
        <f t="shared" si="1"/>
        <v>175.10201145000002</v>
      </c>
      <c r="D24" s="3">
        <f t="shared" ref="D24:E24" si="13">D10*B24</f>
        <v>9.8883938760000021</v>
      </c>
      <c r="E24" s="3">
        <f t="shared" si="13"/>
        <v>26.265301717500002</v>
      </c>
      <c r="F24" s="3">
        <f t="shared" si="5"/>
        <v>315.34241682350006</v>
      </c>
      <c r="G24" s="3">
        <f t="shared" si="6"/>
        <v>8.3756616369000021</v>
      </c>
      <c r="H24" s="3">
        <f t="shared" si="7"/>
        <v>13.959436061500003</v>
      </c>
      <c r="I24" s="3">
        <f t="shared" si="8"/>
        <v>0.98883938760000012</v>
      </c>
      <c r="J24" s="3">
        <f t="shared" si="9"/>
        <v>0.98883938760000012</v>
      </c>
      <c r="K24" s="30">
        <f t="shared" si="2"/>
        <v>3.6090879362321005E-3</v>
      </c>
      <c r="L24" s="101"/>
      <c r="M24" s="12"/>
      <c r="N24" s="12"/>
      <c r="O24" s="15"/>
      <c r="P24" s="12"/>
      <c r="Q24" s="12"/>
      <c r="R24" s="12"/>
      <c r="S24" s="12"/>
      <c r="T24" s="12"/>
      <c r="U24" s="12"/>
      <c r="V24" s="12"/>
      <c r="W24" s="12"/>
      <c r="X24" s="12"/>
    </row>
    <row r="25" spans="1:24" x14ac:dyDescent="0.25">
      <c r="A25" s="10" t="str">
        <f>"Spring "&amp;Enrollment!F2</f>
        <v>Spring 2025</v>
      </c>
      <c r="B25" s="3">
        <f>IF(B24-D24+G24-(B24*(B10+H10))+(C24*(C10))&lt;0,0,B24-D24+G24-(B24*(B10+H10))+(C24*(C10)))</f>
        <v>88.1827442007</v>
      </c>
      <c r="C25" s="3">
        <f t="shared" si="1"/>
        <v>170.99576872660003</v>
      </c>
      <c r="D25" s="3">
        <f t="shared" ref="D25:E25" si="14">D11*B25</f>
        <v>8.8182744200700007</v>
      </c>
      <c r="E25" s="3">
        <f t="shared" si="14"/>
        <v>25.649365308990003</v>
      </c>
      <c r="F25" s="3">
        <f t="shared" si="5"/>
        <v>349.81005655256007</v>
      </c>
      <c r="G25" s="3">
        <f t="shared" si="6"/>
        <v>9.4602725047050011</v>
      </c>
      <c r="H25" s="3">
        <f t="shared" si="7"/>
        <v>15.767120841175004</v>
      </c>
      <c r="I25" s="3">
        <f t="shared" si="8"/>
        <v>1.7636548840140001</v>
      </c>
      <c r="J25" s="3">
        <f t="shared" si="9"/>
        <v>2.7524942716140002</v>
      </c>
      <c r="K25" s="30">
        <f t="shared" si="2"/>
        <v>1.0620071241731673E-2</v>
      </c>
      <c r="L25" s="101"/>
      <c r="M25" s="12"/>
      <c r="N25" s="12"/>
      <c r="O25" s="15"/>
      <c r="P25" s="12"/>
      <c r="Q25" s="12"/>
      <c r="R25" s="12"/>
      <c r="S25" s="12"/>
      <c r="T25" s="12"/>
      <c r="U25" s="12"/>
      <c r="V25" s="12"/>
      <c r="W25" s="12"/>
      <c r="X25" s="12"/>
    </row>
    <row r="26" spans="1:24" x14ac:dyDescent="0.25">
      <c r="A26" s="10" t="str">
        <f>"Fall "&amp;Enrollment!G2</f>
        <v>Fall 2026</v>
      </c>
      <c r="B26" s="3">
        <f t="shared" si="3"/>
        <v>80.351323339792003</v>
      </c>
      <c r="C26" s="3">
        <f t="shared" si="1"/>
        <v>167.82328832031402</v>
      </c>
      <c r="D26" s="3">
        <f t="shared" ref="D26:E26" si="15">D12*B26</f>
        <v>8.0351323339792007</v>
      </c>
      <c r="E26" s="3">
        <f t="shared" si="15"/>
        <v>25.173493248047102</v>
      </c>
      <c r="F26" s="3">
        <f t="shared" si="5"/>
        <v>383.01868213458641</v>
      </c>
      <c r="G26" s="3">
        <f t="shared" si="6"/>
        <v>10.494301696576802</v>
      </c>
      <c r="H26" s="3">
        <f t="shared" si="7"/>
        <v>17.490502827628003</v>
      </c>
      <c r="I26" s="3">
        <f t="shared" si="8"/>
        <v>12.0526985009688</v>
      </c>
      <c r="J26" s="3">
        <f t="shared" si="9"/>
        <v>14.805192772582799</v>
      </c>
      <c r="K26" s="30">
        <f t="shared" si="2"/>
        <v>5.9656355150701855E-2</v>
      </c>
      <c r="L26" s="101"/>
      <c r="M26" s="12"/>
      <c r="N26" s="12"/>
      <c r="O26" s="15"/>
      <c r="P26" s="12"/>
      <c r="Q26" s="12"/>
      <c r="R26" s="12"/>
      <c r="S26" s="12"/>
      <c r="T26" s="12"/>
      <c r="U26" s="12"/>
      <c r="V26" s="12"/>
      <c r="W26" s="12"/>
      <c r="X26" s="12"/>
    </row>
    <row r="27" spans="1:24" x14ac:dyDescent="0.25">
      <c r="A27" s="10" t="str">
        <f>"Spring "&amp;Enrollment!G2</f>
        <v>Spring 2026</v>
      </c>
      <c r="B27" s="3">
        <f t="shared" si="3"/>
        <v>65.04175249831043</v>
      </c>
      <c r="C27" s="3">
        <f t="shared" si="1"/>
        <v>165.8563396030053</v>
      </c>
      <c r="D27" s="3">
        <f t="shared" ref="D27:E27" si="16">D13*B27</f>
        <v>6.504175249831043</v>
      </c>
      <c r="E27" s="3">
        <f t="shared" si="16"/>
        <v>24.878450940450794</v>
      </c>
      <c r="F27" s="3">
        <f t="shared" si="5"/>
        <v>414.4013083248683</v>
      </c>
      <c r="G27" s="3">
        <f t="shared" si="6"/>
        <v>11.490560464037593</v>
      </c>
      <c r="H27" s="3">
        <f t="shared" si="7"/>
        <v>19.15093410672932</v>
      </c>
      <c r="I27" s="3">
        <f t="shared" si="8"/>
        <v>9.7562628747465645</v>
      </c>
      <c r="J27" s="3">
        <f t="shared" si="9"/>
        <v>24.561455647329364</v>
      </c>
      <c r="K27" s="30">
        <f t="shared" si="2"/>
        <v>0.10637357556229632</v>
      </c>
      <c r="L27" s="101"/>
      <c r="M27" s="12"/>
      <c r="N27" s="12"/>
      <c r="O27" s="15"/>
      <c r="P27" s="12"/>
      <c r="Q27" s="12"/>
      <c r="R27" s="12"/>
      <c r="S27" s="12"/>
      <c r="T27" s="12"/>
      <c r="U27" s="12"/>
      <c r="V27" s="12"/>
      <c r="W27" s="12"/>
      <c r="X27" s="12"/>
    </row>
    <row r="28" spans="1:24" x14ac:dyDescent="0.25">
      <c r="A28" s="10" t="str">
        <f>"Fall "&amp;Enrollment!H2</f>
        <v>Fall 2027</v>
      </c>
      <c r="B28" s="3">
        <f t="shared" si="3"/>
        <v>57.995400573560929</v>
      </c>
      <c r="C28" s="3">
        <f t="shared" si="1"/>
        <v>162.40529703349333</v>
      </c>
      <c r="D28" s="3">
        <f t="shared" ref="D28:E28" si="17">D14*B28</f>
        <v>5.7995400573560936</v>
      </c>
      <c r="E28" s="3">
        <f t="shared" si="17"/>
        <v>24.360794555023997</v>
      </c>
      <c r="F28" s="3">
        <f t="shared" si="5"/>
        <v>444.56164293724834</v>
      </c>
      <c r="G28" s="3">
        <f t="shared" si="6"/>
        <v>12.432039249746049</v>
      </c>
      <c r="H28" s="3">
        <f t="shared" si="7"/>
        <v>20.720065416243415</v>
      </c>
      <c r="I28" s="3">
        <f t="shared" si="8"/>
        <v>13.571468997038938</v>
      </c>
      <c r="J28" s="3">
        <f t="shared" si="9"/>
        <v>38.132924644368302</v>
      </c>
      <c r="K28" s="30">
        <f t="shared" si="2"/>
        <v>0.17301635184637365</v>
      </c>
      <c r="L28" s="101"/>
      <c r="M28" s="12"/>
      <c r="N28" s="12"/>
      <c r="O28" s="15"/>
      <c r="P28" s="12"/>
      <c r="Q28" s="12"/>
      <c r="R28" s="12"/>
      <c r="S28" s="12"/>
      <c r="T28" s="12"/>
      <c r="U28" s="12"/>
      <c r="V28" s="12"/>
      <c r="W28" s="12"/>
      <c r="X28" s="12"/>
    </row>
    <row r="29" spans="1:24" x14ac:dyDescent="0.25">
      <c r="A29" s="10" t="str">
        <f>"Spring "&amp;Enrollment!H2</f>
        <v>Spring 2027</v>
      </c>
      <c r="B29" s="3">
        <f t="shared" si="3"/>
        <v>54.770499211197802</v>
      </c>
      <c r="C29" s="3">
        <f t="shared" si="1"/>
        <v>155.05049945242689</v>
      </c>
      <c r="D29" s="3">
        <f t="shared" ref="D29:E29" si="18">D15*B29</f>
        <v>5.4770499211197805</v>
      </c>
      <c r="E29" s="3">
        <f t="shared" si="18"/>
        <v>23.257574917864034</v>
      </c>
      <c r="F29" s="3">
        <f t="shared" si="5"/>
        <v>473.29626777623213</v>
      </c>
      <c r="G29" s="3">
        <f t="shared" si="6"/>
        <v>13.336849288117449</v>
      </c>
      <c r="H29" s="3">
        <f t="shared" si="7"/>
        <v>22.22808214686242</v>
      </c>
      <c r="I29" s="3">
        <f t="shared" si="8"/>
        <v>14.417594859776745</v>
      </c>
      <c r="J29" s="3">
        <f t="shared" si="9"/>
        <v>52.550519504145043</v>
      </c>
      <c r="K29" s="30">
        <f t="shared" si="2"/>
        <v>0.25045405292532996</v>
      </c>
      <c r="L29" s="101"/>
      <c r="M29" s="12"/>
      <c r="N29" s="12"/>
      <c r="O29" s="15"/>
      <c r="P29" s="12"/>
      <c r="Q29" s="12"/>
      <c r="R29" s="12"/>
      <c r="S29" s="12"/>
      <c r="T29" s="12"/>
      <c r="U29" s="12"/>
      <c r="V29" s="12"/>
      <c r="W29" s="12"/>
      <c r="X29" s="12"/>
    </row>
    <row r="30" spans="1:24" x14ac:dyDescent="0.25">
      <c r="A30" s="78"/>
      <c r="B30" s="59"/>
      <c r="C30" s="59"/>
      <c r="D30" s="59"/>
      <c r="E30" s="59"/>
      <c r="F30" s="59"/>
      <c r="G30" s="59"/>
      <c r="H30" s="59"/>
      <c r="I30" s="59"/>
      <c r="J30" s="59"/>
      <c r="K30" s="12"/>
      <c r="L30" s="8" t="s">
        <v>119</v>
      </c>
      <c r="M30" s="7"/>
      <c r="N30" s="8" t="str">
        <f>"Coninuing Since  "&amp;$A$18</f>
        <v>Coninuing Since  New Fall 2022</v>
      </c>
      <c r="O30" s="7"/>
      <c r="P30" s="7"/>
      <c r="Q30" s="10" t="s">
        <v>120</v>
      </c>
      <c r="R30" s="12"/>
      <c r="S30" s="12"/>
      <c r="T30" s="12"/>
      <c r="U30" s="12"/>
      <c r="V30" s="12"/>
      <c r="W30" s="12"/>
      <c r="X30" s="12"/>
    </row>
    <row r="31" spans="1:24" x14ac:dyDescent="0.25">
      <c r="A31" s="10" t="str">
        <f>$A$17</f>
        <v>Semester</v>
      </c>
      <c r="B31" s="11" t="s">
        <v>84</v>
      </c>
      <c r="C31" s="11" t="s">
        <v>85</v>
      </c>
      <c r="D31" s="11" t="s">
        <v>95</v>
      </c>
      <c r="E31" s="11" t="s">
        <v>94</v>
      </c>
      <c r="F31" s="11" t="s">
        <v>86</v>
      </c>
      <c r="G31" s="11" t="s">
        <v>96</v>
      </c>
      <c r="H31" s="11" t="s">
        <v>97</v>
      </c>
      <c r="I31" s="11" t="s">
        <v>83</v>
      </c>
      <c r="J31" s="11" t="s">
        <v>87</v>
      </c>
      <c r="K31" s="11" t="s">
        <v>98</v>
      </c>
      <c r="L31" s="11" t="s">
        <v>102</v>
      </c>
      <c r="M31" s="11" t="s">
        <v>103</v>
      </c>
      <c r="N31" s="11" t="s">
        <v>102</v>
      </c>
      <c r="O31" s="11" t="s">
        <v>103</v>
      </c>
      <c r="P31" s="11" t="s">
        <v>102</v>
      </c>
      <c r="Q31" s="11" t="s">
        <v>103</v>
      </c>
      <c r="R31" s="12"/>
      <c r="S31" s="12"/>
      <c r="T31" s="12"/>
      <c r="U31" s="12"/>
      <c r="V31" s="12"/>
      <c r="W31" s="12"/>
      <c r="X31" s="12"/>
    </row>
    <row r="32" spans="1:24" x14ac:dyDescent="0.25">
      <c r="A32" s="10" t="str">
        <f>"New "&amp;$A$19</f>
        <v>New Spring 2022</v>
      </c>
      <c r="B32" s="92">
        <f>Enrollment!C4</f>
        <v>160</v>
      </c>
      <c r="C32" s="92">
        <f>Enrollment!C8</f>
        <v>40</v>
      </c>
      <c r="D32" s="3">
        <f>$D$4*B32</f>
        <v>16</v>
      </c>
      <c r="E32" s="3">
        <f>$E$4*C32</f>
        <v>6</v>
      </c>
      <c r="F32" s="3">
        <f>D32+E32</f>
        <v>22</v>
      </c>
      <c r="G32" s="3">
        <v>0</v>
      </c>
      <c r="H32" s="3">
        <v>0</v>
      </c>
      <c r="I32" s="3">
        <f>$H$4*B32+$I$4*C32</f>
        <v>0</v>
      </c>
      <c r="J32" s="3">
        <f>I32</f>
        <v>0</v>
      </c>
      <c r="K32" s="30">
        <f>J32/(B32+C32)</f>
        <v>0</v>
      </c>
      <c r="L32" s="3">
        <f>L177</f>
        <v>1138.4128343154659</v>
      </c>
      <c r="M32" s="3">
        <f>M177</f>
        <v>1827.717698931086</v>
      </c>
      <c r="N32" s="5">
        <f>B19</f>
        <v>290</v>
      </c>
      <c r="O32" s="5">
        <f>C19</f>
        <v>155</v>
      </c>
      <c r="P32" s="5">
        <f>L32+N32</f>
        <v>1428.4128343154659</v>
      </c>
      <c r="Q32" s="5">
        <f>M32+O32</f>
        <v>1982.717698931086</v>
      </c>
      <c r="R32" s="12"/>
      <c r="S32" s="12"/>
      <c r="T32" s="12"/>
      <c r="U32" s="12"/>
      <c r="V32" s="12"/>
      <c r="W32" s="12"/>
      <c r="X32" s="12"/>
    </row>
    <row r="33" spans="1:24" x14ac:dyDescent="0.25">
      <c r="A33" s="10" t="str">
        <f>$A$20</f>
        <v>Fall 2023</v>
      </c>
      <c r="B33" s="3">
        <f>IF(B32-D32+G32-(B32*($B$4+$H$4))+(C32*($C$4))&lt;0,0,B32-D32+G32-(B32*($B$4+$H$4))+(C32*($C$4)))</f>
        <v>116</v>
      </c>
      <c r="C33" s="3">
        <f>IF(C32-E32+H32-(C32*($C$4+$I$4))+(B32*($B$4))&lt;0,0,C32-E32+H32-(C32*($C$4+$I$4))+(B32*($B$4)))</f>
        <v>62</v>
      </c>
      <c r="D33" s="3">
        <f>$D$5*B33</f>
        <v>11.600000000000001</v>
      </c>
      <c r="E33" s="3">
        <f>$E$5*C33</f>
        <v>9.2999999999999989</v>
      </c>
      <c r="F33" s="3">
        <f>F32+D33+E33</f>
        <v>42.9</v>
      </c>
      <c r="G33" s="3">
        <f>$F$5*F32</f>
        <v>0.22</v>
      </c>
      <c r="H33" s="3">
        <f>$G$5*F32</f>
        <v>0.44</v>
      </c>
      <c r="I33" s="3">
        <f>$H$5*B33+$I$5*C33</f>
        <v>0</v>
      </c>
      <c r="J33" s="3">
        <f>J32+I33</f>
        <v>0</v>
      </c>
      <c r="K33" s="30">
        <f t="shared" ref="K33" si="19">J33/(B33+C33)</f>
        <v>0</v>
      </c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 x14ac:dyDescent="0.25">
      <c r="A34" s="10" t="str">
        <f>$A$21</f>
        <v>Spring 2023</v>
      </c>
      <c r="B34" s="3">
        <f>IF(B33-D33+G33-(B33*($B$5+$H$5))+(C33*($C$5))&lt;0,0,B33-D33+G33-(B33*($B$5+$H$5))+(C33*($C$5)))</f>
        <v>86.460000000000008</v>
      </c>
      <c r="C34" s="3">
        <f>IF(C33-E33+H33-(C33*($C$5+$I$5))+(B33*($B$5))&lt;0,0,C33-E33+H33-(C33*($C$5+$I$5))+(B33*($B$5)))</f>
        <v>71.3</v>
      </c>
      <c r="D34" s="3">
        <f>$D$6*B34</f>
        <v>8.6460000000000008</v>
      </c>
      <c r="E34" s="3">
        <f>$E$6*C34</f>
        <v>10.694999999999999</v>
      </c>
      <c r="F34" s="3">
        <f t="shared" ref="F34:F43" si="20">F33+D34+E34</f>
        <v>62.241</v>
      </c>
      <c r="G34" s="3">
        <f>$F$6*F33</f>
        <v>0.85799999999999998</v>
      </c>
      <c r="H34" s="3">
        <f>$G$6*F33</f>
        <v>1.2869999999999999</v>
      </c>
      <c r="I34" s="3">
        <f>$H$6*B34+$I$6*C34</f>
        <v>0</v>
      </c>
      <c r="J34" s="3">
        <f t="shared" ref="J34:J43" si="21">J33+I34</f>
        <v>0</v>
      </c>
      <c r="K34" s="30">
        <f t="shared" ref="K34:K43" si="22">J34/(B34+C34)</f>
        <v>0</v>
      </c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1:24" x14ac:dyDescent="0.25">
      <c r="A35" s="10" t="str">
        <f>$A$22</f>
        <v>Fall 2024</v>
      </c>
      <c r="B35" s="3">
        <f>IF(B34-D34+G34-(B34*($B$6+$H$6))+(C34*($C$6))&lt;0,0,B34-D34+G34-(B34*($B$6+$H$6))+(C34*($C$6)))</f>
        <v>66.780800000000013</v>
      </c>
      <c r="C35" s="3">
        <f>IF(C34-E34+H34-(C34*($C$6+$I$6))+(B34*($B$6))&lt;0,0,C34-E34+H34-(C34*($C$6+$I$6))+(B34*($B$6)))</f>
        <v>73.783199999999994</v>
      </c>
      <c r="D35" s="3">
        <f>$D$7*B35</f>
        <v>6.6780800000000013</v>
      </c>
      <c r="E35" s="3">
        <f>$E$7*C35</f>
        <v>11.067479999999998</v>
      </c>
      <c r="F35" s="3">
        <f t="shared" si="20"/>
        <v>79.986560000000011</v>
      </c>
      <c r="G35" s="3">
        <f>$F$7*F34</f>
        <v>1.8672299999999999</v>
      </c>
      <c r="H35" s="3">
        <f>$G$7*F34</f>
        <v>2.4896400000000001</v>
      </c>
      <c r="I35" s="3">
        <f>$H$7*B35+$I$7*C35</f>
        <v>0</v>
      </c>
      <c r="J35" s="3">
        <f t="shared" si="21"/>
        <v>0</v>
      </c>
      <c r="K35" s="30">
        <f t="shared" si="22"/>
        <v>0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 x14ac:dyDescent="0.25">
      <c r="A36" s="10" t="str">
        <f>$A$23</f>
        <v>Spring 2024</v>
      </c>
      <c r="B36" s="3">
        <f>IF(B35-D35+G35-(B35*($B$7+$H$7))+(C35*($C$7))&lt;0,0,B35-D35+G35-(B35*($B$7+$H$7))+(C35*($C$7)))</f>
        <v>53.988686000000008</v>
      </c>
      <c r="C36" s="3">
        <f>IF(C35-E35+H35-(C35*($C$7+$I$7))+(B35*($B$7))&lt;0,0,C35-E35+H35-(C35*($C$7+$I$7))+(B35*($B$7)))</f>
        <v>73.186623999999995</v>
      </c>
      <c r="D36" s="3">
        <f>$D$8*B36</f>
        <v>5.398868600000001</v>
      </c>
      <c r="E36" s="3">
        <f>$E$8*C36</f>
        <v>10.9779936</v>
      </c>
      <c r="F36" s="3">
        <f t="shared" si="20"/>
        <v>96.363422200000016</v>
      </c>
      <c r="G36" s="3">
        <f>$F$8*F35</f>
        <v>2.3995968000000003</v>
      </c>
      <c r="H36" s="3">
        <f>$G$8*F35</f>
        <v>3.9993280000000007</v>
      </c>
      <c r="I36" s="3">
        <f>$H$8*B36+$I$8*C36</f>
        <v>0</v>
      </c>
      <c r="J36" s="3">
        <f t="shared" si="21"/>
        <v>0</v>
      </c>
      <c r="K36" s="30">
        <f t="shared" si="22"/>
        <v>0</v>
      </c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 x14ac:dyDescent="0.25">
      <c r="A37" s="10" t="str">
        <f>$A$24</f>
        <v>Fall 2025</v>
      </c>
      <c r="B37" s="3">
        <f>IF(B36-D36+G36-(B36*($B$8+$H$8))+(C36*($C$8))&lt;0,0,B36-D36+G36-(B36*($B$8+$H$8))+(C36*($C$8)))</f>
        <v>45.350791960000002</v>
      </c>
      <c r="C37" s="3">
        <f>IF(C36-E36+H36-(C36*($C$8+$I$8))+(B36*($B$8))&lt;0,0,C36-E36+H36-(C36*($C$8+$I$8))+(B36*($B$8)))</f>
        <v>71.846580639999999</v>
      </c>
      <c r="D37" s="3">
        <f>$D$9*B37</f>
        <v>4.5350791960000008</v>
      </c>
      <c r="E37" s="3">
        <f>$E$9*C37</f>
        <v>10.776987095999999</v>
      </c>
      <c r="F37" s="3">
        <f t="shared" si="20"/>
        <v>111.67548849200001</v>
      </c>
      <c r="G37" s="3">
        <f>$F$9*F36</f>
        <v>2.8909026660000006</v>
      </c>
      <c r="H37" s="3">
        <f>$G$9*F36</f>
        <v>4.8181711100000015</v>
      </c>
      <c r="I37" s="3">
        <f>$H$9*B37+$I$9*C37</f>
        <v>0</v>
      </c>
      <c r="J37" s="3">
        <f t="shared" si="21"/>
        <v>0</v>
      </c>
      <c r="K37" s="30">
        <f t="shared" si="22"/>
        <v>0</v>
      </c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x14ac:dyDescent="0.25">
      <c r="A38" s="10" t="str">
        <f>$A$25</f>
        <v>Spring 2025</v>
      </c>
      <c r="B38" s="3">
        <f>IF(B37-D37+G37-(B37*($B$9+$H$9))+(C37*($C$9))&lt;0,0,B37-D37+G37-(B37*($B$9+$H$9))+(C37*($C$9)))</f>
        <v>39.553575504000008</v>
      </c>
      <c r="C38" s="3">
        <f>IF(C37-E37+H37-(C37*($C$9+$I$9))+(B37*($B$9))&lt;0,0,C37-E37+H37-(C37*($C$9+$I$9))+(B37*($B$9)))</f>
        <v>70.040804579999985</v>
      </c>
      <c r="D38" s="3">
        <f>$D$10*B38</f>
        <v>3.9553575504000009</v>
      </c>
      <c r="E38" s="3">
        <f>$E$10*C38</f>
        <v>10.506120686999997</v>
      </c>
      <c r="F38" s="3">
        <f t="shared" si="20"/>
        <v>126.1369667294</v>
      </c>
      <c r="G38" s="3">
        <f>$F$10*F37</f>
        <v>3.3502646547600001</v>
      </c>
      <c r="H38" s="3">
        <f>$G$10*F37</f>
        <v>5.5837744246000014</v>
      </c>
      <c r="I38" s="3">
        <f>$H$10*B38+$I$10*C38</f>
        <v>0.3955357550400001</v>
      </c>
      <c r="J38" s="3">
        <f t="shared" si="21"/>
        <v>0.3955357550400001</v>
      </c>
      <c r="K38" s="30">
        <f t="shared" si="22"/>
        <v>3.6090879362321018E-3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1:24" x14ac:dyDescent="0.25">
      <c r="A39" s="10" t="str">
        <f>$A$26</f>
        <v>Fall 2026</v>
      </c>
      <c r="B39" s="3">
        <f>IF(B38-D38+G38-(B38*($B$10+$H$10))+(C38*($C$10))&lt;0,0,B38-D38+G38-(B38*($B$10+$H$10))+(C38*($C$10)))</f>
        <v>35.273097680280003</v>
      </c>
      <c r="C39" s="3">
        <f>IF(C38-E38+H38-(C38*($C$10+$I$10))+(B38*($B$10))&lt;0,0,C38-E38+H38-(C38*($C$10+$I$10))+(B38*($B$10)))</f>
        <v>68.398307490639993</v>
      </c>
      <c r="D39" s="3">
        <f>$D$11*B39</f>
        <v>3.5273097680280006</v>
      </c>
      <c r="E39" s="3">
        <f>$E$11*C39</f>
        <v>10.259746123595999</v>
      </c>
      <c r="F39" s="3">
        <f t="shared" si="20"/>
        <v>139.92402262102399</v>
      </c>
      <c r="G39" s="3">
        <f>$F$11*F38</f>
        <v>3.7841090018819998</v>
      </c>
      <c r="H39" s="3">
        <f>$G$11*F38</f>
        <v>6.3068483364700008</v>
      </c>
      <c r="I39" s="3">
        <f>$H$11*B39+$I$11*C39</f>
        <v>0.70546195360560005</v>
      </c>
      <c r="J39" s="3">
        <f t="shared" si="21"/>
        <v>1.1009977086456002</v>
      </c>
      <c r="K39" s="30">
        <f t="shared" si="22"/>
        <v>1.0620071241731678E-2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spans="1:24" x14ac:dyDescent="0.25">
      <c r="A40" s="10" t="str">
        <f>$A$27</f>
        <v>Spring 2026</v>
      </c>
      <c r="B40" s="3">
        <f>IF(B39-D39+G39-(B39*($B$11+$H$11))+(C39*($C$11))&lt;0,0,B39-D39+G39-(B39*($B$11+$H$11))+(C39*($C$11)))</f>
        <v>32.140529335916796</v>
      </c>
      <c r="C40" s="3">
        <f>IF(C39-E39+H39-(C39*($C$11+$I$11))+(B39*($B$11))&lt;0,0,C39-E39+H39-(C39*($C$11+$I$11))+(B39*($B$11)))</f>
        <v>67.129315328125585</v>
      </c>
      <c r="D40" s="3">
        <f>$D$12*B40</f>
        <v>3.2140529335916797</v>
      </c>
      <c r="E40" s="3">
        <f>$E$12*C40</f>
        <v>10.069397299218837</v>
      </c>
      <c r="F40" s="3">
        <f t="shared" si="20"/>
        <v>153.20747285383453</v>
      </c>
      <c r="G40" s="3">
        <f>$F$12*F39</f>
        <v>4.19772067863072</v>
      </c>
      <c r="H40" s="3">
        <f>$G$12*F39</f>
        <v>6.9962011310512002</v>
      </c>
      <c r="I40" s="3">
        <f>$H$12*B40+$I$12*C40</f>
        <v>4.8210794003875188</v>
      </c>
      <c r="J40" s="3">
        <f t="shared" si="21"/>
        <v>5.9220771090331192</v>
      </c>
      <c r="K40" s="30">
        <f t="shared" si="22"/>
        <v>5.9656355150701869E-2</v>
      </c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pans="1:24" x14ac:dyDescent="0.25">
      <c r="A41" s="10" t="str">
        <f>$A$28</f>
        <v>Fall 2027</v>
      </c>
      <c r="B41" s="3">
        <f>IF(B40-D40+G40-(B40*($B$12+$H$12))+(C40*($C$12))&lt;0,0,B40-D40+G40-(B40*($B$12+$H$12))+(C40*($C$12)))</f>
        <v>26.016700999324172</v>
      </c>
      <c r="C41" s="3">
        <f>IF(C40-E40+H40-(C40*($C$12+$I$12))+(B40*($B$12))&lt;0,0,C40-E40+H40-(C40*($C$12+$I$12))+(B40*($B$12)))</f>
        <v>66.342535841202093</v>
      </c>
      <c r="D41" s="3">
        <f>$D$13*B41</f>
        <v>2.6016700999324174</v>
      </c>
      <c r="E41" s="3">
        <f>$E$13*C41</f>
        <v>9.9513803761803139</v>
      </c>
      <c r="F41" s="3">
        <f t="shared" si="20"/>
        <v>165.76052332994726</v>
      </c>
      <c r="G41" s="3">
        <f>$F$13*F40</f>
        <v>4.5962241856150357</v>
      </c>
      <c r="H41" s="3">
        <f>$G$13*F40</f>
        <v>7.6603736426917273</v>
      </c>
      <c r="I41" s="3">
        <f>$H$13*B41+$I$13*C41</f>
        <v>3.9025051498986256</v>
      </c>
      <c r="J41" s="3">
        <f t="shared" si="21"/>
        <v>9.8245822589317449</v>
      </c>
      <c r="K41" s="30">
        <f t="shared" si="22"/>
        <v>0.10637357556229635</v>
      </c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1:24" x14ac:dyDescent="0.25">
      <c r="A42" s="10" t="str">
        <f>$A$29</f>
        <v>Spring 2027</v>
      </c>
      <c r="B42" s="3">
        <f>IF(B41-D41+G41-(B41*($B$13+$H$13))+(C41*($C$13))&lt;0,0,B41-D41+G41-(B41*($B$13+$H$13))+(C41*($C$13)))</f>
        <v>23.198160229424367</v>
      </c>
      <c r="C42" s="3">
        <f>IF(C41-E41+H41-(C41*($C$13+$I$13))+(B41*($B$13))&lt;0,0,C41-E41+H41-(C41*($C$13+$I$13))+(B41*($B$13)))</f>
        <v>64.962118813397311</v>
      </c>
      <c r="D42" s="3">
        <f>$D$14*B42</f>
        <v>2.3198160229424367</v>
      </c>
      <c r="E42" s="3">
        <f>$E$14*C42</f>
        <v>9.744317822009597</v>
      </c>
      <c r="F42" s="3">
        <f t="shared" si="20"/>
        <v>177.8246571748993</v>
      </c>
      <c r="G42" s="3">
        <f>$F$14*F41</f>
        <v>4.9728156998984181</v>
      </c>
      <c r="H42" s="3">
        <f>$G$14*F41</f>
        <v>8.2880261664973638</v>
      </c>
      <c r="I42" s="3">
        <f>$H$14*B42+$I$14*C42</f>
        <v>5.4285875988155743</v>
      </c>
      <c r="J42" s="3">
        <f t="shared" si="21"/>
        <v>15.25316985774732</v>
      </c>
      <c r="K42" s="30">
        <f t="shared" si="22"/>
        <v>0.17301635184637368</v>
      </c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pans="1:24" x14ac:dyDescent="0.25">
      <c r="A43" s="100"/>
      <c r="B43" s="3">
        <f>IF(B42-D42+G42-(B42*($B$13+$H$13))+(C42*($C$13))&lt;0,0,B42-D42+G42-(B42*($B$13+$H$13))+(C42*($C$13)))</f>
        <v>22.140181286773359</v>
      </c>
      <c r="C43" s="3">
        <f>IF(C42-E42+H42-(C42*($C$14+$I$14))+(B42*($B$14))&lt;0,0,C42-E42+H42-(C42*($C$14+$I$14))+(B42*($B$14)))</f>
        <v>62.020199780970742</v>
      </c>
      <c r="D43" s="3">
        <f>$D$15*B43</f>
        <v>2.2140181286773362</v>
      </c>
      <c r="E43" s="3">
        <f>$E$15*C43</f>
        <v>9.3030299671456103</v>
      </c>
      <c r="F43" s="3">
        <f t="shared" si="20"/>
        <v>189.34170527072226</v>
      </c>
      <c r="G43" s="3">
        <f>$F$15*F42</f>
        <v>5.3347397152469789</v>
      </c>
      <c r="H43" s="3">
        <f>$G$15*F42</f>
        <v>8.8912328587449654</v>
      </c>
      <c r="I43" s="3">
        <f>$H$15*B43+$I$15*C43</f>
        <v>5.8018351842548332</v>
      </c>
      <c r="J43" s="3">
        <f t="shared" si="21"/>
        <v>21.055005042002154</v>
      </c>
      <c r="K43" s="30">
        <f t="shared" si="22"/>
        <v>0.25017715907267729</v>
      </c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spans="1:24" x14ac:dyDescent="0.25">
      <c r="A44" s="7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8" t="s">
        <v>119</v>
      </c>
      <c r="M44" s="7"/>
      <c r="N44" s="8" t="str">
        <f>"Coninuing Since  "&amp;$A$18</f>
        <v>Coninuing Since  New Fall 2022</v>
      </c>
      <c r="O44" s="7"/>
      <c r="P44" s="7"/>
      <c r="Q44" s="10" t="s">
        <v>120</v>
      </c>
      <c r="R44" s="12"/>
      <c r="S44" s="12"/>
      <c r="T44" s="12"/>
      <c r="U44" s="12"/>
      <c r="V44" s="12"/>
      <c r="W44" s="12"/>
      <c r="X44" s="12"/>
    </row>
    <row r="45" spans="1:24" x14ac:dyDescent="0.25">
      <c r="A45" s="10" t="str">
        <f>$A$17</f>
        <v>Semester</v>
      </c>
      <c r="B45" s="11" t="s">
        <v>84</v>
      </c>
      <c r="C45" s="11" t="s">
        <v>85</v>
      </c>
      <c r="D45" s="11" t="s">
        <v>95</v>
      </c>
      <c r="E45" s="11" t="s">
        <v>94</v>
      </c>
      <c r="F45" s="11" t="s">
        <v>86</v>
      </c>
      <c r="G45" s="11" t="s">
        <v>96</v>
      </c>
      <c r="H45" s="11" t="s">
        <v>97</v>
      </c>
      <c r="I45" s="11" t="s">
        <v>83</v>
      </c>
      <c r="J45" s="11" t="s">
        <v>87</v>
      </c>
      <c r="K45" s="11" t="s">
        <v>98</v>
      </c>
      <c r="L45" s="11" t="s">
        <v>102</v>
      </c>
      <c r="M45" s="11" t="s">
        <v>103</v>
      </c>
      <c r="N45" s="11" t="s">
        <v>102</v>
      </c>
      <c r="O45" s="11" t="s">
        <v>103</v>
      </c>
      <c r="P45" s="11" t="s">
        <v>102</v>
      </c>
      <c r="Q45" s="11" t="s">
        <v>103</v>
      </c>
      <c r="R45" s="12"/>
      <c r="S45" s="12"/>
      <c r="T45" s="12"/>
      <c r="U45" s="12"/>
      <c r="V45" s="12"/>
      <c r="W45" s="12"/>
      <c r="X45" s="12"/>
    </row>
    <row r="46" spans="1:24" x14ac:dyDescent="0.25">
      <c r="A46" s="10" t="str">
        <f>"New "&amp;$A$20</f>
        <v>New Fall 2023</v>
      </c>
      <c r="B46" s="92">
        <f>Enrollment!D3</f>
        <v>396</v>
      </c>
      <c r="C46" s="92">
        <f>Enrollment!D7</f>
        <v>99</v>
      </c>
      <c r="D46" s="3">
        <f>$D$4*B46</f>
        <v>39.6</v>
      </c>
      <c r="E46" s="3">
        <f>$E$4*C46</f>
        <v>14.85</v>
      </c>
      <c r="F46" s="3">
        <f>D46+E46</f>
        <v>54.45</v>
      </c>
      <c r="G46" s="3">
        <v>0</v>
      </c>
      <c r="H46" s="3">
        <v>0</v>
      </c>
      <c r="I46" s="3">
        <f>$H$4*B46+$I$4*C46</f>
        <v>0</v>
      </c>
      <c r="J46" s="3">
        <f>I46</f>
        <v>0</v>
      </c>
      <c r="K46" s="30">
        <f>J46/(B46+C46)</f>
        <v>0</v>
      </c>
      <c r="L46" s="3">
        <f>L178</f>
        <v>910.72783431546588</v>
      </c>
      <c r="M46" s="3">
        <f>M178</f>
        <v>1637.6226989310858</v>
      </c>
      <c r="N46" s="5">
        <f>B33+B20</f>
        <v>332.15</v>
      </c>
      <c r="O46" s="5">
        <f>C33+C20</f>
        <v>240.25</v>
      </c>
      <c r="P46" s="5">
        <f>L46+N46</f>
        <v>1242.8778343154659</v>
      </c>
      <c r="Q46" s="5">
        <f>M46+O46</f>
        <v>1877.8726989310858</v>
      </c>
      <c r="R46" s="12"/>
      <c r="S46" s="12"/>
      <c r="T46" s="12"/>
      <c r="U46" s="12"/>
      <c r="V46" s="12"/>
      <c r="W46" s="12"/>
      <c r="X46" s="12"/>
    </row>
    <row r="47" spans="1:24" x14ac:dyDescent="0.25">
      <c r="A47" s="10" t="str">
        <f>$A$21</f>
        <v>Spring 2023</v>
      </c>
      <c r="B47" s="3">
        <f>IF(B46-D46+G46-(B46*($B$4+$H$4))+(C46*($C$4))&lt;0,0,B46-D46+G46-(B46*($B$4+$H$4))+(C46*($C$4)))</f>
        <v>287.09999999999997</v>
      </c>
      <c r="C47" s="3">
        <f>IF(C46-E46+H46-(C46*($C$4+$I$4))+(B46*($B$4))&lt;0,0,C46-E46+H46-(C46*($C$4+$I$4))+(B46*($B$4)))</f>
        <v>153.44999999999999</v>
      </c>
      <c r="D47" s="3">
        <f>$D$5*B47</f>
        <v>28.709999999999997</v>
      </c>
      <c r="E47" s="3">
        <f>$E$5*C47</f>
        <v>23.017499999999998</v>
      </c>
      <c r="F47" s="3">
        <f>F46+D47+E47</f>
        <v>106.17749999999999</v>
      </c>
      <c r="G47" s="3">
        <f>$F$5*F46</f>
        <v>0.5445000000000001</v>
      </c>
      <c r="H47" s="3">
        <f>$G$5*F46</f>
        <v>1.0890000000000002</v>
      </c>
      <c r="I47" s="3">
        <f>$H$5*B47+$I$5*C47</f>
        <v>0</v>
      </c>
      <c r="J47" s="3">
        <f>J46+I47</f>
        <v>0</v>
      </c>
      <c r="K47" s="30">
        <f t="shared" ref="K47:K57" si="23">J47/(B47+C47)</f>
        <v>0</v>
      </c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spans="1:24" x14ac:dyDescent="0.25">
      <c r="A48" s="10" t="str">
        <f>$A$22</f>
        <v>Fall 2024</v>
      </c>
      <c r="B48" s="3">
        <f>IF(B47-D47+G47-(B47*($B$5+$H$5))+(C47*($C$5))&lt;0,0,B47-D47+G47-(B47*($B$5+$H$5))+(C47*($C$5)))</f>
        <v>213.98850000000002</v>
      </c>
      <c r="C48" s="3">
        <f>IF(C47-E47+H47-(C47*($C$5+$I$5))+(B47*($B$5))&lt;0,0,C47-E47+H47-(C47*($C$5+$I$5))+(B47*($B$5)))</f>
        <v>176.4675</v>
      </c>
      <c r="D48" s="3">
        <f>$D$6*B48</f>
        <v>21.398850000000003</v>
      </c>
      <c r="E48" s="3">
        <f>$E$6*C48</f>
        <v>26.470124999999999</v>
      </c>
      <c r="F48" s="3">
        <f t="shared" ref="F48:F57" si="24">F47+D48+E48</f>
        <v>154.04647499999999</v>
      </c>
      <c r="G48" s="3">
        <f>$F$6*F47</f>
        <v>2.1235499999999998</v>
      </c>
      <c r="H48" s="3">
        <f>$G$6*F47</f>
        <v>3.1853249999999997</v>
      </c>
      <c r="I48" s="3">
        <f>$H$6*B48+$I$6*C48</f>
        <v>0</v>
      </c>
      <c r="J48" s="3">
        <f t="shared" ref="J48:J57" si="25">J47+I48</f>
        <v>0</v>
      </c>
      <c r="K48" s="30">
        <f t="shared" si="23"/>
        <v>0</v>
      </c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1:24" x14ac:dyDescent="0.25">
      <c r="A49" s="10" t="str">
        <f>$A$23</f>
        <v>Spring 2024</v>
      </c>
      <c r="B49" s="3">
        <f>IF(B48-D48+G48-(B48*($B$6+$H$6))+(C48*($C$6))&lt;0,0,B48-D48+G48-(B48*($B$6+$H$6))+(C48*($C$6)))</f>
        <v>165.28247999999999</v>
      </c>
      <c r="C49" s="3">
        <f>IF(C48-E48+H48-(C48*($C$6+$I$6))+(B48*($B$6))&lt;0,0,C48-E48+H48-(C48*($C$6+$I$6))+(B48*($B$6)))</f>
        <v>182.61342000000002</v>
      </c>
      <c r="D49" s="3">
        <f>$D$7*B49</f>
        <v>16.528248000000001</v>
      </c>
      <c r="E49" s="3">
        <f>$E$7*C49</f>
        <v>27.392013000000002</v>
      </c>
      <c r="F49" s="3">
        <f t="shared" si="24"/>
        <v>197.96673599999997</v>
      </c>
      <c r="G49" s="3">
        <f>$F$7*F48</f>
        <v>4.6213942499999998</v>
      </c>
      <c r="H49" s="3">
        <f>$G$7*F48</f>
        <v>6.1618589999999998</v>
      </c>
      <c r="I49" s="3">
        <f>$H$7*B49+$I$7*C49</f>
        <v>0</v>
      </c>
      <c r="J49" s="3">
        <f t="shared" si="25"/>
        <v>0</v>
      </c>
      <c r="K49" s="30">
        <f t="shared" si="23"/>
        <v>0</v>
      </c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spans="1:24" x14ac:dyDescent="0.25">
      <c r="A50" s="10" t="str">
        <f>$A$24</f>
        <v>Fall 2025</v>
      </c>
      <c r="B50" s="3">
        <f>IF(B49-D49+G49-(B49*($B$7+$H$7))+(C49*($C$7))&lt;0,0,B49-D49+G49-(B49*($B$7+$H$7))+(C49*($C$7)))</f>
        <v>133.62199785000001</v>
      </c>
      <c r="C50" s="3">
        <f>IF(C49-E49+H49-(C49*($C$7+$I$7))+(B49*($B$7))&lt;0,0,C49-E49+H49-(C49*($C$7+$I$7))+(B49*($B$7)))</f>
        <v>181.13689440000002</v>
      </c>
      <c r="D50" s="3">
        <f>$D$8*B50</f>
        <v>13.362199785000001</v>
      </c>
      <c r="E50" s="3">
        <f>$E$8*C50</f>
        <v>27.170534160000003</v>
      </c>
      <c r="F50" s="3">
        <f t="shared" si="24"/>
        <v>238.49946994499999</v>
      </c>
      <c r="G50" s="3">
        <f>$F$8*F49</f>
        <v>5.939002079999999</v>
      </c>
      <c r="H50" s="3">
        <f>$G$8*F49</f>
        <v>9.8983367999999992</v>
      </c>
      <c r="I50" s="3">
        <f>$H$8*B50+$I$8*C50</f>
        <v>0</v>
      </c>
      <c r="J50" s="3">
        <f t="shared" si="25"/>
        <v>0</v>
      </c>
      <c r="K50" s="30">
        <f t="shared" si="23"/>
        <v>0</v>
      </c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1:24" x14ac:dyDescent="0.25">
      <c r="A51" s="10" t="str">
        <f>$A$25</f>
        <v>Spring 2025</v>
      </c>
      <c r="B51" s="3">
        <f>IF(B50-D50+G50-(B50*($B$8+$H$8))+(C50*($C$8))&lt;0,0,B50-D50+G50-(B50*($B$8+$H$8))+(C50*($C$8)))</f>
        <v>112.24321010100002</v>
      </c>
      <c r="C51" s="3">
        <f>IF(C50-E50+H50-(C50*($C$8+$I$8))+(B50*($B$8))&lt;0,0,C50-E50+H50-(C50*($C$8+$I$8))+(B50*($B$8)))</f>
        <v>177.82028708400003</v>
      </c>
      <c r="D51" s="3">
        <f>$D$9*B51</f>
        <v>11.224321010100002</v>
      </c>
      <c r="E51" s="3">
        <f>$E$9*C51</f>
        <v>26.673043062600005</v>
      </c>
      <c r="F51" s="3">
        <f t="shared" si="24"/>
        <v>276.39683401769997</v>
      </c>
      <c r="G51" s="3">
        <f>$F$9*F50</f>
        <v>7.154984098349999</v>
      </c>
      <c r="H51" s="3">
        <f>$G$9*F50</f>
        <v>11.924973497250001</v>
      </c>
      <c r="I51" s="3">
        <f>$H$9*B51+$I$9*C51</f>
        <v>0</v>
      </c>
      <c r="J51" s="3">
        <f t="shared" si="25"/>
        <v>0</v>
      </c>
      <c r="K51" s="30">
        <f t="shared" si="23"/>
        <v>0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spans="1:24" x14ac:dyDescent="0.25">
      <c r="A52" s="10" t="str">
        <f>$A$26</f>
        <v>Fall 2026</v>
      </c>
      <c r="B52" s="3">
        <f>IF(B51-D51+G51-(B51*($B$9+$H$9))+(C51*($C$9))&lt;0,0,B51-D51+G51-(B51*($B$9+$H$9))+(C51*($C$9)))</f>
        <v>97.895099372400026</v>
      </c>
      <c r="C52" s="3">
        <f>IF(C51-E51+H51-(C51*($C$9+$I$9))+(B51*($B$9))&lt;0,0,C51-E51+H51-(C51*($C$9+$I$9))+(B51*($B$9)))</f>
        <v>173.35099133550003</v>
      </c>
      <c r="D52" s="3">
        <f>$D$10*B52</f>
        <v>9.7895099372400036</v>
      </c>
      <c r="E52" s="3">
        <f>$E$10*C52</f>
        <v>26.002648700325004</v>
      </c>
      <c r="F52" s="3">
        <f t="shared" si="24"/>
        <v>312.18899265526494</v>
      </c>
      <c r="G52" s="3">
        <f>$F$10*F51</f>
        <v>8.291905020530999</v>
      </c>
      <c r="H52" s="3">
        <f>$G$10*F51</f>
        <v>13.819841700885</v>
      </c>
      <c r="I52" s="3">
        <f>$H$10*B52+$I$10*C52</f>
        <v>0.9789509937240003</v>
      </c>
      <c r="J52" s="3">
        <f t="shared" si="25"/>
        <v>0.9789509937240003</v>
      </c>
      <c r="K52" s="30">
        <f t="shared" si="23"/>
        <v>3.6090879362321009E-3</v>
      </c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spans="1:24" x14ac:dyDescent="0.25">
      <c r="A53" s="10" t="str">
        <f>$A$27</f>
        <v>Spring 2026</v>
      </c>
      <c r="B53" s="3">
        <f>IF(B52-D52+G52-(B52*($B$10+$H$10))+(C52*($C$10))&lt;0,0,B52-D52+G52-(B52*($B$10+$H$10))+(C52*($C$10)))</f>
        <v>87.30091675869302</v>
      </c>
      <c r="C53" s="3">
        <f>IF(C52-E52+H52-(C52*($C$10+$I$10))+(B52*($B$10))&lt;0,0,C52-E52+H52-(C52*($C$10+$I$10))+(B52*($B$10)))</f>
        <v>169.28581103933402</v>
      </c>
      <c r="D53" s="3">
        <f>$D$11*B53</f>
        <v>8.7300916758693017</v>
      </c>
      <c r="E53" s="3">
        <f>$E$11*C53</f>
        <v>25.392871655900102</v>
      </c>
      <c r="F53" s="3">
        <f t="shared" si="24"/>
        <v>346.31195598703431</v>
      </c>
      <c r="G53" s="3">
        <f>$F$11*F52</f>
        <v>9.3656697796579476</v>
      </c>
      <c r="H53" s="3">
        <f>$G$11*F52</f>
        <v>15.609449632763248</v>
      </c>
      <c r="I53" s="3">
        <f>$H$11*B53+$I$11*C53</f>
        <v>1.7460183351738605</v>
      </c>
      <c r="J53" s="3">
        <f t="shared" si="25"/>
        <v>2.7249693288978607</v>
      </c>
      <c r="K53" s="30">
        <f t="shared" si="23"/>
        <v>1.0620071241731676E-2</v>
      </c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spans="1:24" x14ac:dyDescent="0.25">
      <c r="A54" s="10" t="str">
        <f>$A$28</f>
        <v>Fall 2027</v>
      </c>
      <c r="B54" s="3">
        <f>IF(B53-D53+G53-(B53*($B$11+$H$11))+(C53*($C$11))&lt;0,0,B53-D53+G53-(B53*($B$11+$H$11))+(C53*($C$11)))</f>
        <v>79.547810106394081</v>
      </c>
      <c r="C54" s="3">
        <f>IF(C53-E53+H53-(C53*($C$11+$I$11))+(B53*($B$11))&lt;0,0,C53-E53+H53-(C53*($C$11+$I$11))+(B53*($B$11)))</f>
        <v>166.14505543711087</v>
      </c>
      <c r="D54" s="3">
        <f>$D$12*B54</f>
        <v>7.9547810106394081</v>
      </c>
      <c r="E54" s="3">
        <f>$E$12*C54</f>
        <v>24.921758315566631</v>
      </c>
      <c r="F54" s="3">
        <f t="shared" si="24"/>
        <v>379.18849531324037</v>
      </c>
      <c r="G54" s="3">
        <f>$F$12*F53</f>
        <v>10.389358679611028</v>
      </c>
      <c r="H54" s="3">
        <f>$G$12*F53</f>
        <v>17.315597799351718</v>
      </c>
      <c r="I54" s="3">
        <f>$H$12*B54+$I$12*C54</f>
        <v>11.932171515959112</v>
      </c>
      <c r="J54" s="3">
        <f t="shared" si="25"/>
        <v>14.657140844856972</v>
      </c>
      <c r="K54" s="30">
        <f t="shared" si="23"/>
        <v>5.9656355150701862E-2</v>
      </c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spans="1:24" x14ac:dyDescent="0.25">
      <c r="A55" s="10" t="str">
        <f>$A$29</f>
        <v>Spring 2027</v>
      </c>
      <c r="B55" s="3">
        <f>IF(B54-D54+G54-(B54*($B$12+$H$12))+(C54*($C$12))&lt;0,0,B54-D54+G54-(B54*($B$12+$H$12))+(C54*($C$12)))</f>
        <v>64.391334973327332</v>
      </c>
      <c r="C55" s="3">
        <f>IF(C54-E54+H54-(C54*($C$12+$I$12))+(B54*($B$12))&lt;0,0,C54-E54+H54-(C54*($C$12+$I$12))+(B54*($B$12)))</f>
        <v>164.19777620697522</v>
      </c>
      <c r="D55" s="3">
        <f>$D$13*B55</f>
        <v>6.4391334973327332</v>
      </c>
      <c r="E55" s="3">
        <f>$E$13*C55</f>
        <v>24.629666431046282</v>
      </c>
      <c r="F55" s="3">
        <f t="shared" si="24"/>
        <v>410.25729524161943</v>
      </c>
      <c r="G55" s="3">
        <f>$F$13*F54</f>
        <v>11.37565485939721</v>
      </c>
      <c r="H55" s="3">
        <f>$G$13*F54</f>
        <v>18.959424765662018</v>
      </c>
      <c r="I55" s="3">
        <f>$H$13*B55+$I$13*C55</f>
        <v>9.6587002459990998</v>
      </c>
      <c r="J55" s="3">
        <f t="shared" si="25"/>
        <v>24.315841090856072</v>
      </c>
      <c r="K55" s="30">
        <f t="shared" si="23"/>
        <v>0.10637357556229633</v>
      </c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  <row r="56" spans="1:24" x14ac:dyDescent="0.25">
      <c r="A56" s="100"/>
      <c r="B56" s="3">
        <f>IF(B55-D55+G55-(B55*($B$13+$H$13))+(C55*($C$13))&lt;0,0,B55-D55+G55-(B55*($B$13+$H$13))+(C55*($C$13)))</f>
        <v>57.41544656782532</v>
      </c>
      <c r="C56" s="3">
        <f>IF(C55-E55+H55-(C55*($C$13+$I$13))+(B55*($B$13))&lt;0,0,C55-E55+H55-(C55*($C$13+$I$13))+(B55*($B$13)))</f>
        <v>160.78124406315837</v>
      </c>
      <c r="D56" s="3">
        <f>$D$14*B56</f>
        <v>5.7415446567825326</v>
      </c>
      <c r="E56" s="3">
        <f>$E$14*C56</f>
        <v>24.117186609473755</v>
      </c>
      <c r="F56" s="3">
        <f t="shared" si="24"/>
        <v>440.11602650787574</v>
      </c>
      <c r="G56" s="3">
        <f>$F$14*F55</f>
        <v>12.307718857248583</v>
      </c>
      <c r="H56" s="3">
        <f>$G$14*F55</f>
        <v>20.512864762080973</v>
      </c>
      <c r="I56" s="3">
        <f>$H$14*B56+$I$14*C56</f>
        <v>13.435754307068549</v>
      </c>
      <c r="J56" s="3">
        <f t="shared" si="25"/>
        <v>37.751595397924618</v>
      </c>
      <c r="K56" s="30">
        <f t="shared" si="23"/>
        <v>0.17301635184637368</v>
      </c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</row>
    <row r="57" spans="1:24" x14ac:dyDescent="0.25">
      <c r="A57" s="100"/>
      <c r="B57" s="3">
        <f>IF(B56-D56+G56-(B56*($B$13+$H$13))+(C56*($C$13))&lt;0,0,B56-D56+G56-(B56*($B$13+$H$13))+(C56*($C$13)))</f>
        <v>54.796948684764075</v>
      </c>
      <c r="C57" s="3">
        <f>IF(C56-E56+H56-(C56*($C$14+$I$14))+(B56*($B$14))&lt;0,0,C56-E56+H56-(C56*($C$14+$I$14))+(B56*($B$14)))</f>
        <v>153.49999445790257</v>
      </c>
      <c r="D57" s="3">
        <f>$D$15*B57</f>
        <v>5.4796948684764075</v>
      </c>
      <c r="E57" s="3">
        <f>$E$15*C57</f>
        <v>23.024999168685387</v>
      </c>
      <c r="F57" s="3">
        <f t="shared" si="24"/>
        <v>468.62072054503756</v>
      </c>
      <c r="G57" s="3">
        <f>$F$15*F56</f>
        <v>13.203480795236272</v>
      </c>
      <c r="H57" s="3">
        <f>$G$15*F56</f>
        <v>22.00580132539379</v>
      </c>
      <c r="I57" s="3">
        <f>$H$15*B57+$I$15*C57</f>
        <v>14.359542081030714</v>
      </c>
      <c r="J57" s="3">
        <f t="shared" si="25"/>
        <v>52.111137478955328</v>
      </c>
      <c r="K57" s="30">
        <f t="shared" si="23"/>
        <v>0.25017715907267729</v>
      </c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 x14ac:dyDescent="0.25">
      <c r="A58" s="7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8" t="s">
        <v>119</v>
      </c>
      <c r="M58" s="7"/>
      <c r="N58" s="8" t="str">
        <f>"Coninuing Since  "&amp;$A$18</f>
        <v>Coninuing Since  New Fall 2022</v>
      </c>
      <c r="O58" s="7"/>
      <c r="P58" s="7"/>
      <c r="Q58" s="10" t="s">
        <v>120</v>
      </c>
      <c r="R58" s="12"/>
      <c r="S58" s="12"/>
      <c r="T58" s="12"/>
      <c r="U58" s="12"/>
      <c r="V58" s="12"/>
      <c r="W58" s="12"/>
      <c r="X58" s="12"/>
    </row>
    <row r="59" spans="1:24" x14ac:dyDescent="0.25">
      <c r="A59" s="10" t="str">
        <f>$A$17</f>
        <v>Semester</v>
      </c>
      <c r="B59" s="11" t="s">
        <v>84</v>
      </c>
      <c r="C59" s="11" t="s">
        <v>85</v>
      </c>
      <c r="D59" s="11" t="s">
        <v>95</v>
      </c>
      <c r="E59" s="11" t="s">
        <v>94</v>
      </c>
      <c r="F59" s="11" t="s">
        <v>86</v>
      </c>
      <c r="G59" s="11" t="s">
        <v>96</v>
      </c>
      <c r="H59" s="11" t="s">
        <v>97</v>
      </c>
      <c r="I59" s="11" t="s">
        <v>83</v>
      </c>
      <c r="J59" s="11" t="s">
        <v>87</v>
      </c>
      <c r="K59" s="11" t="s">
        <v>98</v>
      </c>
      <c r="L59" s="11" t="s">
        <v>102</v>
      </c>
      <c r="M59" s="11" t="s">
        <v>103</v>
      </c>
      <c r="N59" s="11" t="s">
        <v>102</v>
      </c>
      <c r="O59" s="11" t="s">
        <v>103</v>
      </c>
      <c r="P59" s="11" t="s">
        <v>102</v>
      </c>
      <c r="Q59" s="11" t="s">
        <v>103</v>
      </c>
      <c r="R59" s="12"/>
      <c r="S59" s="12"/>
      <c r="T59" s="12"/>
      <c r="U59" s="12"/>
      <c r="V59" s="12"/>
      <c r="W59" s="12"/>
      <c r="X59" s="12"/>
    </row>
    <row r="60" spans="1:24" x14ac:dyDescent="0.25">
      <c r="A60" s="10" t="str">
        <f>"New "&amp;$A$21</f>
        <v>New Spring 2023</v>
      </c>
      <c r="B60" s="92">
        <f>Enrollment!D4</f>
        <v>158.4</v>
      </c>
      <c r="C60" s="92">
        <f>Enrollment!D8</f>
        <v>39.6</v>
      </c>
      <c r="D60" s="3">
        <f>$D$4*B60</f>
        <v>15.840000000000002</v>
      </c>
      <c r="E60" s="3">
        <f>$E$4*C60</f>
        <v>5.94</v>
      </c>
      <c r="F60" s="3">
        <f>D60+E60</f>
        <v>21.78</v>
      </c>
      <c r="G60" s="3">
        <v>0</v>
      </c>
      <c r="H60" s="3">
        <v>0</v>
      </c>
      <c r="I60" s="3">
        <f>$H$4*B60+$I$4*C60</f>
        <v>0</v>
      </c>
      <c r="J60" s="3">
        <f>I60</f>
        <v>0</v>
      </c>
      <c r="K60" s="30">
        <f>J60/(B60+C60)</f>
        <v>0</v>
      </c>
      <c r="L60" s="3">
        <f>L179</f>
        <v>734.61303431546582</v>
      </c>
      <c r="M60" s="3">
        <f>M179</f>
        <v>1441.5414989310859</v>
      </c>
      <c r="N60" s="5">
        <f>B47+B34+B21</f>
        <v>540.51199999999994</v>
      </c>
      <c r="O60" s="5">
        <f>C47+C34+C21</f>
        <v>409.20799999999997</v>
      </c>
      <c r="P60" s="5">
        <f>L60+N60</f>
        <v>1275.1250343154657</v>
      </c>
      <c r="Q60" s="5">
        <f>M60+O60</f>
        <v>1850.7494989310858</v>
      </c>
      <c r="R60" s="12"/>
      <c r="S60" s="12"/>
      <c r="T60" s="12"/>
      <c r="U60" s="12"/>
      <c r="V60" s="12"/>
      <c r="W60" s="12"/>
      <c r="X60" s="12"/>
    </row>
    <row r="61" spans="1:24" x14ac:dyDescent="0.25">
      <c r="A61" s="10" t="str">
        <f>$A$22</f>
        <v>Fall 2024</v>
      </c>
      <c r="B61" s="3">
        <f>IF(B60-D60+G60-(B60*($B$4+$H$4))+(C60*($C$4))&lt;0,0,B60-D60+G60-(B60*($B$4+$H$4))+(C60*($C$4)))</f>
        <v>114.83999999999999</v>
      </c>
      <c r="C61" s="3">
        <f>IF(C60-E60+H60-(C60*($C$4+$I$4))+(B60*($B$4))&lt;0,0,C60-E60+H60-(C60*($C$4+$I$4))+(B60*($B$4)))</f>
        <v>61.38000000000001</v>
      </c>
      <c r="D61" s="3">
        <f>$D$5*B61</f>
        <v>11.484</v>
      </c>
      <c r="E61" s="3">
        <f>$E$5*C61</f>
        <v>9.2070000000000007</v>
      </c>
      <c r="F61" s="3">
        <f>F60+D61+E61</f>
        <v>42.471000000000004</v>
      </c>
      <c r="G61" s="3">
        <f>$F$5*F60</f>
        <v>0.21780000000000002</v>
      </c>
      <c r="H61" s="3">
        <f>$G$5*F60</f>
        <v>0.43560000000000004</v>
      </c>
      <c r="I61" s="3">
        <f>$H$5*B61+$I$5*C61</f>
        <v>0</v>
      </c>
      <c r="J61" s="3">
        <f>J60+I61</f>
        <v>0</v>
      </c>
      <c r="K61" s="30">
        <f t="shared" ref="K61:K71" si="26">J61/(B61+C61)</f>
        <v>0</v>
      </c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</row>
    <row r="62" spans="1:24" x14ac:dyDescent="0.25">
      <c r="A62" s="10" t="str">
        <f>$A$23</f>
        <v>Spring 2024</v>
      </c>
      <c r="B62" s="3">
        <f>IF(B61-D61+G61-(B61*($B$5+$H$5))+(C61*($C$5))&lt;0,0,B61-D61+G61-(B61*($B$5+$H$5))+(C61*($C$5)))</f>
        <v>85.595399999999998</v>
      </c>
      <c r="C62" s="3">
        <f>IF(C61-E61+H61-(C61*($C$5+$I$5))+(B61*($B$5))&lt;0,0,C61-E61+H61-(C61*($C$5+$I$5))+(B61*($B$5)))</f>
        <v>70.587000000000003</v>
      </c>
      <c r="D62" s="3">
        <f>$D$6*B62</f>
        <v>8.5595400000000001</v>
      </c>
      <c r="E62" s="3">
        <f>$E$6*C62</f>
        <v>10.588050000000001</v>
      </c>
      <c r="F62" s="3">
        <f t="shared" ref="F62:F71" si="27">F61+D62+E62</f>
        <v>61.618590000000005</v>
      </c>
      <c r="G62" s="3">
        <f>$F$6*F61</f>
        <v>0.84942000000000006</v>
      </c>
      <c r="H62" s="3">
        <f>$G$6*F61</f>
        <v>1.27413</v>
      </c>
      <c r="I62" s="3">
        <f>$H$6*B62+$I$6*C62</f>
        <v>0</v>
      </c>
      <c r="J62" s="3">
        <f t="shared" ref="J62:J71" si="28">J61+I62</f>
        <v>0</v>
      </c>
      <c r="K62" s="30">
        <f t="shared" si="26"/>
        <v>0</v>
      </c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</row>
    <row r="63" spans="1:24" x14ac:dyDescent="0.25">
      <c r="A63" s="10" t="str">
        <f>$A$24</f>
        <v>Fall 2025</v>
      </c>
      <c r="B63" s="3">
        <f>IF(B62-D62+G62-(B62*($B$6+$H$6))+(C62*($C$6))&lt;0,0,B62-D62+G62-(B62*($B$6+$H$6))+(C62*($C$6)))</f>
        <v>66.112991999999991</v>
      </c>
      <c r="C63" s="3">
        <f>IF(C62-E62+H62-(C62*($C$6+$I$6))+(B62*($B$6))&lt;0,0,C62-E62+H62-(C62*($C$6+$I$6))+(B62*($B$6)))</f>
        <v>73.045367999999996</v>
      </c>
      <c r="D63" s="3">
        <f>$D$7*B63</f>
        <v>6.6112991999999995</v>
      </c>
      <c r="E63" s="3">
        <f>$E$7*C63</f>
        <v>10.9568052</v>
      </c>
      <c r="F63" s="3">
        <f t="shared" si="27"/>
        <v>79.186694400000007</v>
      </c>
      <c r="G63" s="3">
        <f>$F$7*F62</f>
        <v>1.8485577</v>
      </c>
      <c r="H63" s="3">
        <f>$G$7*F62</f>
        <v>2.4647436000000003</v>
      </c>
      <c r="I63" s="3">
        <f>$H$7*B63+$I$7*C63</f>
        <v>0</v>
      </c>
      <c r="J63" s="3">
        <f t="shared" si="28"/>
        <v>0</v>
      </c>
      <c r="K63" s="30">
        <f t="shared" si="26"/>
        <v>0</v>
      </c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</row>
    <row r="64" spans="1:24" x14ac:dyDescent="0.25">
      <c r="A64" s="10" t="str">
        <f>$A$25</f>
        <v>Spring 2025</v>
      </c>
      <c r="B64" s="3">
        <f>IF(B63-D63+G63-(B63*($B$7+$H$7))+(C63*($C$7))&lt;0,0,B63-D63+G63-(B63*($B$7+$H$7))+(C63*($C$7)))</f>
        <v>53.448799139999998</v>
      </c>
      <c r="C64" s="3">
        <f>IF(C63-E63+H63-(C63*($C$7+$I$7))+(B63*($B$7))&lt;0,0,C63-E63+H63-(C63*($C$7+$I$7))+(B63*($B$7)))</f>
        <v>72.454757759999993</v>
      </c>
      <c r="D64" s="3">
        <f>$D$8*B64</f>
        <v>5.3448799139999998</v>
      </c>
      <c r="E64" s="3">
        <f>$E$8*C64</f>
        <v>10.868213663999999</v>
      </c>
      <c r="F64" s="3">
        <f t="shared" si="27"/>
        <v>95.399787978000006</v>
      </c>
      <c r="G64" s="3">
        <f>$F$8*F63</f>
        <v>2.3756008319999999</v>
      </c>
      <c r="H64" s="3">
        <f>$G$8*F63</f>
        <v>3.9593347200000006</v>
      </c>
      <c r="I64" s="3">
        <f>$H$8*B64+$I$8*C64</f>
        <v>0</v>
      </c>
      <c r="J64" s="3">
        <f t="shared" si="28"/>
        <v>0</v>
      </c>
      <c r="K64" s="30">
        <f t="shared" si="26"/>
        <v>0</v>
      </c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</row>
    <row r="65" spans="1:24" x14ac:dyDescent="0.25">
      <c r="A65" s="10" t="str">
        <f>$A$26</f>
        <v>Fall 2026</v>
      </c>
      <c r="B65" s="3">
        <f>IF(B64-D64+G64-(B64*($B$8+$H$8))+(C64*($C$8))&lt;0,0,B64-D64+G64-(B64*($B$8+$H$8))+(C64*($C$8)))</f>
        <v>44.897284040400002</v>
      </c>
      <c r="C65" s="3">
        <f>IF(C64-E64+H64-(C64*($C$8+$I$8))+(B64*($B$8))&lt;0,0,C64-E64+H64-(C64*($C$8+$I$8))+(B64*($B$8)))</f>
        <v>71.128114833599994</v>
      </c>
      <c r="D65" s="3">
        <f>$D$9*B65</f>
        <v>4.4897284040400001</v>
      </c>
      <c r="E65" s="3">
        <f>$E$9*C65</f>
        <v>10.669217225039999</v>
      </c>
      <c r="F65" s="3">
        <f t="shared" si="27"/>
        <v>110.55873360708</v>
      </c>
      <c r="G65" s="3">
        <f>$F$9*F64</f>
        <v>2.8619936393400001</v>
      </c>
      <c r="H65" s="3">
        <f>$G$9*F64</f>
        <v>4.7699893989000008</v>
      </c>
      <c r="I65" s="3">
        <f>$H$9*B65+$I$9*C65</f>
        <v>0</v>
      </c>
      <c r="J65" s="3">
        <f t="shared" si="28"/>
        <v>0</v>
      </c>
      <c r="K65" s="30">
        <f t="shared" si="26"/>
        <v>0</v>
      </c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</row>
    <row r="66" spans="1:24" x14ac:dyDescent="0.25">
      <c r="A66" s="10" t="str">
        <f>$A$27</f>
        <v>Spring 2026</v>
      </c>
      <c r="B66" s="3">
        <f>IF(B65-D65+G65-(B65*($B$9+$H$9))+(C65*($C$9))&lt;0,0,B65-D65+G65-(B65*($B$9+$H$9))+(C65*($C$9)))</f>
        <v>39.15803974896</v>
      </c>
      <c r="C66" s="3">
        <f>IF(C65-E65+H65-(C65*($C$9+$I$9))+(B65*($B$9))&lt;0,0,C65-E65+H65-(C65*($C$9+$I$9))+(B65*($B$9)))</f>
        <v>69.340396534199996</v>
      </c>
      <c r="D66" s="3">
        <f>$D$10*B66</f>
        <v>3.9158039748960003</v>
      </c>
      <c r="E66" s="3">
        <f>$E$10*C66</f>
        <v>10.40105948013</v>
      </c>
      <c r="F66" s="3">
        <f t="shared" si="27"/>
        <v>124.875597062106</v>
      </c>
      <c r="G66" s="3">
        <f>$F$10*F65</f>
        <v>3.3167620082123999</v>
      </c>
      <c r="H66" s="3">
        <f>$G$10*F65</f>
        <v>5.5279366803540002</v>
      </c>
      <c r="I66" s="3">
        <f>$H$10*B66+$I$10*C66</f>
        <v>0.3915803974896</v>
      </c>
      <c r="J66" s="3">
        <f t="shared" si="28"/>
        <v>0.3915803974896</v>
      </c>
      <c r="K66" s="30">
        <f t="shared" si="26"/>
        <v>3.6090879362321005E-3</v>
      </c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</row>
    <row r="67" spans="1:24" x14ac:dyDescent="0.25">
      <c r="A67" s="10" t="str">
        <f>$A$28</f>
        <v>Fall 2027</v>
      </c>
      <c r="B67" s="3">
        <f>IF(B66-D66+G66-(B66*($B$10+$H$10))+(C66*($C$10))&lt;0,0,B66-D66+G66-(B66*($B$10+$H$10))+(C66*($C$10)))</f>
        <v>34.9203667034772</v>
      </c>
      <c r="C67" s="3">
        <f>IF(C66-E66+H66-(C66*($C$10+$I$10))+(B66*($B$10))&lt;0,0,C66-E66+H66-(C66*($C$10+$I$10))+(B66*($B$10)))</f>
        <v>67.7143244157336</v>
      </c>
      <c r="D67" s="3">
        <f>$D$11*B67</f>
        <v>3.4920366703477201</v>
      </c>
      <c r="E67" s="3">
        <f>$E$11*C67</f>
        <v>10.15714866236004</v>
      </c>
      <c r="F67" s="3">
        <f t="shared" si="27"/>
        <v>138.52478239481377</v>
      </c>
      <c r="G67" s="3">
        <f>$F$11*F66</f>
        <v>3.7462679118631796</v>
      </c>
      <c r="H67" s="3">
        <f>$G$11*F66</f>
        <v>6.2437798531053001</v>
      </c>
      <c r="I67" s="3">
        <f>$H$11*B67+$I$11*C67</f>
        <v>0.69840733406954403</v>
      </c>
      <c r="J67" s="3">
        <f t="shared" si="28"/>
        <v>1.089987731559144</v>
      </c>
      <c r="K67" s="30">
        <f t="shared" si="26"/>
        <v>1.0620071241731675E-2</v>
      </c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</row>
    <row r="68" spans="1:24" x14ac:dyDescent="0.25">
      <c r="A68" s="10" t="str">
        <f>$A$29</f>
        <v>Spring 2027</v>
      </c>
      <c r="B68" s="3">
        <f>IF(B67-D67+G67-(B67*($B$11+$H$11))+(C67*($C$11))&lt;0,0,B67-D67+G67-(B67*($B$11+$H$11))+(C67*($C$11)))</f>
        <v>31.819124042557632</v>
      </c>
      <c r="C68" s="3">
        <f>IF(C67-E67+H67-(C67*($C$11+$I$11))+(B67*($B$11))&lt;0,0,C67-E67+H67-(C67*($C$11+$I$11))+(B67*($B$11)))</f>
        <v>66.458022174844345</v>
      </c>
      <c r="D68" s="3">
        <f>$D$12*B68</f>
        <v>3.1819124042557636</v>
      </c>
      <c r="E68" s="3">
        <f>$E$12*C68</f>
        <v>9.9687033262266507</v>
      </c>
      <c r="F68" s="3">
        <f t="shared" si="27"/>
        <v>151.6753981252962</v>
      </c>
      <c r="G68" s="3">
        <f>$F$12*F67</f>
        <v>4.1557434718444126</v>
      </c>
      <c r="H68" s="3">
        <f>$G$12*F67</f>
        <v>6.9262391197406892</v>
      </c>
      <c r="I68" s="3">
        <f>$H$12*B68+$I$12*C68</f>
        <v>4.7728686063836445</v>
      </c>
      <c r="J68" s="3">
        <f t="shared" si="28"/>
        <v>5.8628563379427883</v>
      </c>
      <c r="K68" s="30">
        <f t="shared" si="26"/>
        <v>5.9656355150701862E-2</v>
      </c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</row>
    <row r="69" spans="1:24" x14ac:dyDescent="0.25">
      <c r="A69" s="100"/>
      <c r="B69" s="3">
        <f>IF(B68-D68+G68-(B68*($B$12+$H$12))+(C68*($C$12))&lt;0,0,B68-D68+G68-(B68*($B$12+$H$12))+(C68*($C$12)))</f>
        <v>25.756533989330929</v>
      </c>
      <c r="C69" s="3">
        <f>IF(C68-E68+H68-(C68*($C$12+$I$12))+(B68*($B$12))&lt;0,0,C68-E68+H68-(C68*($C$12+$I$12))+(B68*($B$12)))</f>
        <v>65.679110482790094</v>
      </c>
      <c r="D69" s="3">
        <f>$D$13*B69</f>
        <v>2.5756533989330932</v>
      </c>
      <c r="E69" s="3">
        <f>$E$13*C69</f>
        <v>9.8518665724185137</v>
      </c>
      <c r="F69" s="3">
        <f t="shared" si="27"/>
        <v>164.10291809664781</v>
      </c>
      <c r="G69" s="3">
        <f>$F$13*F68</f>
        <v>4.550261943758886</v>
      </c>
      <c r="H69" s="3">
        <f>$G$13*F68</f>
        <v>7.5837699062648101</v>
      </c>
      <c r="I69" s="3">
        <f>$H$13*B69+$I$13*C69</f>
        <v>3.8634800983996391</v>
      </c>
      <c r="J69" s="3">
        <f t="shared" si="28"/>
        <v>9.7263364363424269</v>
      </c>
      <c r="K69" s="30">
        <f t="shared" si="26"/>
        <v>0.1063735755622963</v>
      </c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spans="1:24" x14ac:dyDescent="0.25">
      <c r="A70" s="100"/>
      <c r="B70" s="3">
        <f>IF(B69-D69+G69-(B69*($B$13+$H$13))+(C69*($C$13))&lt;0,0,B69-D69+G69-(B69*($B$13+$H$13))+(C69*($C$13)))</f>
        <v>22.966178627130127</v>
      </c>
      <c r="C70" s="3">
        <f>IF(C69-E69+H69-(C69*($C$13+$I$13))+(B69*($B$13))&lt;0,0,C69-E69+H69-(C69*($C$13+$I$13))+(B69*($B$13)))</f>
        <v>64.312497625263347</v>
      </c>
      <c r="D70" s="3">
        <f>$D$14*B70</f>
        <v>2.2966178627130129</v>
      </c>
      <c r="E70" s="3">
        <f>$E$14*C70</f>
        <v>9.6468746437895021</v>
      </c>
      <c r="F70" s="3">
        <f t="shared" si="27"/>
        <v>176.04641060315032</v>
      </c>
      <c r="G70" s="3">
        <f>$F$14*F69</f>
        <v>4.9230875428994345</v>
      </c>
      <c r="H70" s="3">
        <f>$G$14*F69</f>
        <v>8.2051459048323903</v>
      </c>
      <c r="I70" s="3">
        <f>$H$14*B70+$I$14*C70</f>
        <v>5.3743017228274192</v>
      </c>
      <c r="J70" s="3">
        <f t="shared" si="28"/>
        <v>15.100638159169847</v>
      </c>
      <c r="K70" s="30">
        <f t="shared" si="26"/>
        <v>0.17301635184637368</v>
      </c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spans="1:24" x14ac:dyDescent="0.25">
      <c r="A71" s="100"/>
      <c r="B71" s="3">
        <f>IF(B70-D70+G70-(B70*($B$13+$H$13))+(C70*($C$13))&lt;0,0,B70-D70+G70-(B70*($B$13+$H$13))+(C70*($C$13)))</f>
        <v>21.91877947390563</v>
      </c>
      <c r="C71" s="3">
        <f>IF(C70-E70+H70-(C70*($C$14+$I$14))+(B70*($B$14))&lt;0,0,C70-E70+H70-(C70*($C$14+$I$14))+(B70*($B$14)))</f>
        <v>61.399997783161041</v>
      </c>
      <c r="D71" s="3">
        <f>$D$15*B71</f>
        <v>2.1918779473905632</v>
      </c>
      <c r="E71" s="3">
        <f>$E$15*C71</f>
        <v>9.2099996674741558</v>
      </c>
      <c r="F71" s="3">
        <f t="shared" si="27"/>
        <v>187.44828821801505</v>
      </c>
      <c r="G71" s="3">
        <f>$F$15*F70</f>
        <v>5.2813923180945093</v>
      </c>
      <c r="H71" s="3">
        <f>$G$15*F70</f>
        <v>8.802320530157516</v>
      </c>
      <c r="I71" s="3">
        <f>$H$15*B71+$I$15*C71</f>
        <v>5.7438168324122856</v>
      </c>
      <c r="J71" s="3">
        <f t="shared" si="28"/>
        <v>20.844454991582133</v>
      </c>
      <c r="K71" s="30">
        <f t="shared" si="26"/>
        <v>0.25017715907267724</v>
      </c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</row>
    <row r="72" spans="1:24" x14ac:dyDescent="0.25">
      <c r="A72" s="100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8" t="s">
        <v>119</v>
      </c>
      <c r="M72" s="7"/>
      <c r="N72" s="8" t="str">
        <f>"Coninuing Since  "&amp;$A$18</f>
        <v>Coninuing Since  New Fall 2022</v>
      </c>
      <c r="O72" s="7"/>
      <c r="P72" s="7"/>
      <c r="Q72" s="10" t="s">
        <v>120</v>
      </c>
      <c r="R72" s="12"/>
      <c r="S72" s="12"/>
      <c r="T72" s="12"/>
      <c r="U72" s="12"/>
      <c r="V72" s="12"/>
      <c r="W72" s="12"/>
      <c r="X72" s="12"/>
    </row>
    <row r="73" spans="1:24" x14ac:dyDescent="0.25">
      <c r="A73" s="10" t="str">
        <f>$A$17</f>
        <v>Semester</v>
      </c>
      <c r="B73" s="11" t="s">
        <v>84</v>
      </c>
      <c r="C73" s="11" t="s">
        <v>85</v>
      </c>
      <c r="D73" s="11" t="s">
        <v>95</v>
      </c>
      <c r="E73" s="11" t="s">
        <v>94</v>
      </c>
      <c r="F73" s="11" t="s">
        <v>86</v>
      </c>
      <c r="G73" s="11" t="s">
        <v>96</v>
      </c>
      <c r="H73" s="11" t="s">
        <v>97</v>
      </c>
      <c r="I73" s="11" t="s">
        <v>83</v>
      </c>
      <c r="J73" s="11" t="s">
        <v>87</v>
      </c>
      <c r="K73" s="11" t="s">
        <v>98</v>
      </c>
      <c r="L73" s="11" t="s">
        <v>102</v>
      </c>
      <c r="M73" s="11" t="s">
        <v>103</v>
      </c>
      <c r="N73" s="11" t="s">
        <v>102</v>
      </c>
      <c r="O73" s="11" t="s">
        <v>103</v>
      </c>
      <c r="P73" s="11" t="s">
        <v>102</v>
      </c>
      <c r="Q73" s="11" t="s">
        <v>103</v>
      </c>
      <c r="R73" s="12"/>
      <c r="S73" s="12"/>
      <c r="T73" s="12"/>
      <c r="U73" s="12"/>
      <c r="V73" s="12"/>
      <c r="W73" s="12"/>
      <c r="X73" s="12"/>
    </row>
    <row r="74" spans="1:24" x14ac:dyDescent="0.25">
      <c r="A74" s="10" t="str">
        <f>"New "&amp;$A$22</f>
        <v>New Fall 2024</v>
      </c>
      <c r="B74" s="92">
        <f>Enrollment!E3</f>
        <v>392.04</v>
      </c>
      <c r="C74" s="92">
        <f>Enrollment!E7</f>
        <v>98.01</v>
      </c>
      <c r="D74" s="3">
        <f>$D$4*B74</f>
        <v>39.204000000000008</v>
      </c>
      <c r="E74" s="3">
        <f>$E$4*C74</f>
        <v>14.701499999999999</v>
      </c>
      <c r="F74" s="3">
        <f>D74+E74</f>
        <v>53.905500000000004</v>
      </c>
      <c r="G74" s="3">
        <v>0</v>
      </c>
      <c r="H74" s="3">
        <v>0</v>
      </c>
      <c r="I74" s="3">
        <f>$H$4*B74+$I$4*C74</f>
        <v>0</v>
      </c>
      <c r="J74" s="3">
        <f>I74</f>
        <v>0</v>
      </c>
      <c r="K74" s="30">
        <f>J74/(B74+C74)</f>
        <v>0</v>
      </c>
      <c r="L74" s="3">
        <f>L180</f>
        <v>592.05026581546588</v>
      </c>
      <c r="M74" s="3">
        <f>M180</f>
        <v>1247.3638849310857</v>
      </c>
      <c r="N74" s="5">
        <f>B61+B48+B35+B22</f>
        <v>530.58101499999998</v>
      </c>
      <c r="O74" s="5">
        <f>C61+C48+C35+C22</f>
        <v>494.59726000000006</v>
      </c>
      <c r="P74" s="5">
        <f>L74+N74</f>
        <v>1122.6312808154657</v>
      </c>
      <c r="Q74" s="5">
        <f>M74+O74</f>
        <v>1741.9611449310858</v>
      </c>
      <c r="R74" s="12"/>
      <c r="S74" s="12"/>
      <c r="T74" s="12"/>
      <c r="U74" s="12"/>
      <c r="V74" s="12"/>
      <c r="W74" s="12"/>
      <c r="X74" s="12"/>
    </row>
    <row r="75" spans="1:24" x14ac:dyDescent="0.25">
      <c r="A75" s="10" t="str">
        <f>$A$23</f>
        <v>Spring 2024</v>
      </c>
      <c r="B75" s="3">
        <f>IF(B74-D74+G74-(B74*($B$4+$H$4))+(C74*($C$4))&lt;0,0,B74-D74+G74-(B74*($B$4+$H$4))+(C74*($C$4)))</f>
        <v>284.22899999999998</v>
      </c>
      <c r="C75" s="3">
        <f>IF(C74-E74+H74-(C74*($C$4+$I$4))+(B74*($B$4))&lt;0,0,C74-E74+H74-(C74*($C$4+$I$4))+(B74*($B$4)))</f>
        <v>151.91550000000001</v>
      </c>
      <c r="D75" s="3">
        <f>$D$5*B75</f>
        <v>28.422899999999998</v>
      </c>
      <c r="E75" s="3">
        <f>$E$5*C75</f>
        <v>22.787324999999999</v>
      </c>
      <c r="F75" s="3">
        <f>F74+D75+E75</f>
        <v>105.115725</v>
      </c>
      <c r="G75" s="3">
        <f>$F$5*F74</f>
        <v>0.53905500000000006</v>
      </c>
      <c r="H75" s="3">
        <f>$G$5*F74</f>
        <v>1.0781100000000001</v>
      </c>
      <c r="I75" s="3">
        <f>$H$5*B75+$I$5*C75</f>
        <v>0</v>
      </c>
      <c r="J75" s="3">
        <f>J74+I75</f>
        <v>0</v>
      </c>
      <c r="K75" s="30">
        <f t="shared" ref="K75:K85" si="29">J75/(B75+C75)</f>
        <v>0</v>
      </c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</row>
    <row r="76" spans="1:24" x14ac:dyDescent="0.25">
      <c r="A76" s="10" t="str">
        <f>$A$24</f>
        <v>Fall 2025</v>
      </c>
      <c r="B76" s="3">
        <f>IF(B75-D75+G75-(B75*($B$5+$H$5))+(C75*($C$5))&lt;0,0,B75-D75+G75-(B75*($B$5+$H$5))+(C75*($C$5)))</f>
        <v>211.848615</v>
      </c>
      <c r="C76" s="3">
        <f>IF(C75-E75+H75-(C75*($C$5+$I$5))+(B75*($B$5))&lt;0,0,C75-E75+H75-(C75*($C$5+$I$5))+(B75*($B$5)))</f>
        <v>174.70282499999999</v>
      </c>
      <c r="D76" s="3">
        <f>$D$6*B76</f>
        <v>21.1848615</v>
      </c>
      <c r="E76" s="3">
        <f>$E$6*C76</f>
        <v>26.205423749999998</v>
      </c>
      <c r="F76" s="3">
        <f t="shared" ref="F76:F85" si="30">F75+D76+E76</f>
        <v>152.50601025</v>
      </c>
      <c r="G76" s="3">
        <f>$F$6*F75</f>
        <v>2.1023144999999999</v>
      </c>
      <c r="H76" s="3">
        <f>$G$6*F75</f>
        <v>3.15347175</v>
      </c>
      <c r="I76" s="3">
        <f>$H$6*B76+$I$6*C76</f>
        <v>0</v>
      </c>
      <c r="J76" s="3">
        <f t="shared" ref="J76:J85" si="31">J75+I76</f>
        <v>0</v>
      </c>
      <c r="K76" s="30">
        <f t="shared" si="29"/>
        <v>0</v>
      </c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</row>
    <row r="77" spans="1:24" x14ac:dyDescent="0.25">
      <c r="A77" s="10" t="str">
        <f>$A$25</f>
        <v>Spring 2025</v>
      </c>
      <c r="B77" s="3">
        <f>IF(B76-D76+G76-(B76*($B$6+$H$6))+(C76*($C$6))&lt;0,0,B76-D76+G76-(B76*($B$6+$H$6))+(C76*($C$6)))</f>
        <v>163.6296552</v>
      </c>
      <c r="C77" s="3">
        <f>IF(C76-E76+H76-(C76*($C$6+$I$6))+(B76*($B$6))&lt;0,0,C76-E76+H76-(C76*($C$6+$I$6))+(B76*($B$6)))</f>
        <v>180.78728580000001</v>
      </c>
      <c r="D77" s="3">
        <f>$D$7*B77</f>
        <v>16.362965519999999</v>
      </c>
      <c r="E77" s="3">
        <f>$E$7*C77</f>
        <v>27.118092870000002</v>
      </c>
      <c r="F77" s="3">
        <f t="shared" si="30"/>
        <v>195.98706863999999</v>
      </c>
      <c r="G77" s="3">
        <f>$F$7*F76</f>
        <v>4.5751803075000002</v>
      </c>
      <c r="H77" s="3">
        <f>$G$7*F76</f>
        <v>6.1002404100000005</v>
      </c>
      <c r="I77" s="3">
        <f>$H$7*B77+$I$7*C77</f>
        <v>0</v>
      </c>
      <c r="J77" s="3">
        <f t="shared" si="31"/>
        <v>0</v>
      </c>
      <c r="K77" s="30">
        <f t="shared" si="29"/>
        <v>0</v>
      </c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</row>
    <row r="78" spans="1:24" x14ac:dyDescent="0.25">
      <c r="A78" s="10" t="str">
        <f>$A$26</f>
        <v>Fall 2026</v>
      </c>
      <c r="B78" s="3">
        <f>IF(B77-D77+G77-(B77*($B$7+$H$7))+(C77*($C$7))&lt;0,0,B77-D77+G77-(B77*($B$7+$H$7))+(C77*($C$7)))</f>
        <v>132.28577787150002</v>
      </c>
      <c r="C78" s="3">
        <f>IF(C77-E77+H77-(C77*($C$7+$I$7))+(B77*($B$7))&lt;0,0,C77-E77+H77-(C77*($C$7+$I$7))+(B77*($B$7)))</f>
        <v>179.32552545600004</v>
      </c>
      <c r="D78" s="3">
        <f>$D$8*B78</f>
        <v>13.228577787150002</v>
      </c>
      <c r="E78" s="3">
        <f>$E$8*C78</f>
        <v>26.898828818400006</v>
      </c>
      <c r="F78" s="3">
        <f t="shared" si="30"/>
        <v>236.11447524554998</v>
      </c>
      <c r="G78" s="3">
        <f>$F$8*F77</f>
        <v>5.8796120591999994</v>
      </c>
      <c r="H78" s="3">
        <f>$G$8*F77</f>
        <v>9.7993534320000002</v>
      </c>
      <c r="I78" s="3">
        <f>$H$8*B78+$I$8*C78</f>
        <v>0</v>
      </c>
      <c r="J78" s="3">
        <f t="shared" si="31"/>
        <v>0</v>
      </c>
      <c r="K78" s="30">
        <f t="shared" si="29"/>
        <v>0</v>
      </c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</row>
    <row r="79" spans="1:24" x14ac:dyDescent="0.25">
      <c r="A79" s="10" t="str">
        <f>$A$27</f>
        <v>Spring 2026</v>
      </c>
      <c r="B79" s="3">
        <f>IF(B78-D78+G78-(B78*($B$8+$H$8))+(C78*($C$8))&lt;0,0,B78-D78+G78-(B78*($B$8+$H$8))+(C78*($C$8)))</f>
        <v>111.12077799999001</v>
      </c>
      <c r="C79" s="3">
        <f>IF(C78-E78+H78-(C78*($C$8+$I$8))+(B78*($B$8))&lt;0,0,C78-E78+H78-(C78*($C$8+$I$8))+(B78*($B$8)))</f>
        <v>176.04208421316002</v>
      </c>
      <c r="D79" s="3">
        <f>$D$9*B79</f>
        <v>11.112077799999001</v>
      </c>
      <c r="E79" s="3">
        <f>$E$9*C79</f>
        <v>26.406312631974004</v>
      </c>
      <c r="F79" s="3">
        <f t="shared" si="30"/>
        <v>273.632865677523</v>
      </c>
      <c r="G79" s="3">
        <f>$F$9*F78</f>
        <v>7.0834342573664992</v>
      </c>
      <c r="H79" s="3">
        <f>$G$9*F78</f>
        <v>11.8057237622775</v>
      </c>
      <c r="I79" s="3">
        <f>$H$9*B79+$I$9*C79</f>
        <v>0</v>
      </c>
      <c r="J79" s="3">
        <f t="shared" si="31"/>
        <v>0</v>
      </c>
      <c r="K79" s="30">
        <f t="shared" si="29"/>
        <v>0</v>
      </c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</row>
    <row r="80" spans="1:24" x14ac:dyDescent="0.25">
      <c r="A80" s="10" t="str">
        <f>$A$28</f>
        <v>Fall 2027</v>
      </c>
      <c r="B80" s="3">
        <f>IF(B79-D79+G79-(B79*($B$9+$H$9))+(C79*($C$9))&lt;0,0,B79-D79+G79-(B79*($B$9+$H$9))+(C79*($C$9)))</f>
        <v>96.916148378676013</v>
      </c>
      <c r="C80" s="3">
        <f>IF(C79-E79+H79-(C79*($C$9+$I$9))+(B79*($B$9))&lt;0,0,C79-E79+H79-(C79*($C$9+$I$9))+(B79*($B$9)))</f>
        <v>171.617481422145</v>
      </c>
      <c r="D80" s="3">
        <f>$D$10*B80</f>
        <v>9.6916148378676024</v>
      </c>
      <c r="E80" s="3">
        <f>$E$10*C80</f>
        <v>25.742622213321749</v>
      </c>
      <c r="F80" s="3">
        <f t="shared" si="30"/>
        <v>309.06710272871231</v>
      </c>
      <c r="G80" s="3">
        <f>$F$10*F79</f>
        <v>8.2089859703256902</v>
      </c>
      <c r="H80" s="3">
        <f>$G$10*F79</f>
        <v>13.68164328387615</v>
      </c>
      <c r="I80" s="3">
        <f>$H$10*B80+$I$10*C80</f>
        <v>0.96916148378676015</v>
      </c>
      <c r="J80" s="3">
        <f t="shared" si="31"/>
        <v>0.96916148378676015</v>
      </c>
      <c r="K80" s="30">
        <f t="shared" si="29"/>
        <v>3.6090879362321009E-3</v>
      </c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</row>
    <row r="81" spans="1:24" x14ac:dyDescent="0.25">
      <c r="A81" s="10" t="str">
        <f>$A$29</f>
        <v>Spring 2027</v>
      </c>
      <c r="B81" s="3">
        <f>IF(B80-D80+G80-(B80*($B$10+$H$10))+(C80*($C$10))&lt;0,0,B80-D80+G80-(B80*($B$10+$H$10))+(C80*($C$10)))</f>
        <v>86.427907591106077</v>
      </c>
      <c r="C81" s="3">
        <f>IF(C80-E80+H80-(C80*($C$10+$I$10))+(B80*($B$10))&lt;0,0,C80-E80+H80-(C80*($C$10+$I$10))+(B80*($B$10)))</f>
        <v>167.59295292894069</v>
      </c>
      <c r="D81" s="3">
        <f>$D$11*B81</f>
        <v>8.6427907591106088</v>
      </c>
      <c r="E81" s="3">
        <f>$E$11*C81</f>
        <v>25.138942939341103</v>
      </c>
      <c r="F81" s="3">
        <f t="shared" si="30"/>
        <v>342.84883642716403</v>
      </c>
      <c r="G81" s="3">
        <f>$F$11*F80</f>
        <v>9.2720130818613686</v>
      </c>
      <c r="H81" s="3">
        <f>$G$11*F80</f>
        <v>15.453355136435617</v>
      </c>
      <c r="I81" s="3">
        <f>$H$11*B81+$I$11*C81</f>
        <v>1.7285581518221216</v>
      </c>
      <c r="J81" s="3">
        <f t="shared" si="31"/>
        <v>2.6977196356088817</v>
      </c>
      <c r="K81" s="30">
        <f t="shared" si="29"/>
        <v>1.0620071241731675E-2</v>
      </c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</row>
    <row r="82" spans="1:24" x14ac:dyDescent="0.25">
      <c r="A82" s="100"/>
      <c r="B82" s="3">
        <f>IF(B81-D81+G81-(B81*($B$11+$H$11))+(C81*($C$11))&lt;0,0,B81-D81+G81-(B81*($B$11+$H$11))+(C81*($C$11)))</f>
        <v>78.752332005330146</v>
      </c>
      <c r="C82" s="3">
        <f>IF(C81-E81+H81-(C81*($C$11+$I$11))+(B81*($B$11))&lt;0,0,C81-E81+H81-(C81*($C$11+$I$11))+(B81*($B$11)))</f>
        <v>164.48360488273977</v>
      </c>
      <c r="D82" s="3">
        <f>$D$12*B82</f>
        <v>7.8752332005330148</v>
      </c>
      <c r="E82" s="3">
        <f>$E$12*C82</f>
        <v>24.672540732410965</v>
      </c>
      <c r="F82" s="3">
        <f t="shared" si="30"/>
        <v>375.39661036010796</v>
      </c>
      <c r="G82" s="3">
        <f>$F$12*F81</f>
        <v>10.28546509281492</v>
      </c>
      <c r="H82" s="3">
        <f>$G$12*F81</f>
        <v>17.142441821358201</v>
      </c>
      <c r="I82" s="3">
        <f>$H$12*B82+$I$12*C82</f>
        <v>11.812849800799521</v>
      </c>
      <c r="J82" s="3">
        <f t="shared" si="31"/>
        <v>14.510569436408403</v>
      </c>
      <c r="K82" s="30">
        <f t="shared" si="29"/>
        <v>5.9656355150701862E-2</v>
      </c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</row>
    <row r="83" spans="1:24" x14ac:dyDescent="0.25">
      <c r="A83" s="100"/>
      <c r="B83" s="3">
        <f>IF(B82-D82+G82-(B82*($B$12+$H$12))+(C82*($C$12))&lt;0,0,B82-D82+G82-(B82*($B$12+$H$12))+(C82*($C$12)))</f>
        <v>63.747421623594057</v>
      </c>
      <c r="C83" s="3">
        <f>IF(C82-E82+H82-(C82*($C$12+$I$12))+(B82*($B$12))&lt;0,0,C82-E82+H82-(C82*($C$12+$I$12))+(B82*($B$12)))</f>
        <v>162.55579844490546</v>
      </c>
      <c r="D83" s="3">
        <f>$D$13*B83</f>
        <v>6.3747421623594063</v>
      </c>
      <c r="E83" s="3">
        <f>$E$13*C83</f>
        <v>24.383369766735818</v>
      </c>
      <c r="F83" s="3">
        <f t="shared" si="30"/>
        <v>406.15472228920316</v>
      </c>
      <c r="G83" s="3">
        <f>$F$13*F82</f>
        <v>11.261898310803238</v>
      </c>
      <c r="H83" s="3">
        <f>$G$13*F82</f>
        <v>18.769830518005399</v>
      </c>
      <c r="I83" s="3">
        <f>$H$13*B83+$I$13*C83</f>
        <v>9.562113243539109</v>
      </c>
      <c r="J83" s="3">
        <f t="shared" si="31"/>
        <v>24.072682679947512</v>
      </c>
      <c r="K83" s="30">
        <f t="shared" si="29"/>
        <v>0.10637357556229635</v>
      </c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</row>
    <row r="84" spans="1:24" x14ac:dyDescent="0.25">
      <c r="A84" s="100"/>
      <c r="B84" s="3">
        <f>IF(B83-D83+G83-(B83*($B$13+$H$13))+(C83*($C$13))&lt;0,0,B83-D83+G83-(B83*($B$13+$H$13))+(C83*($C$13)))</f>
        <v>56.841292102147051</v>
      </c>
      <c r="C84" s="3">
        <f>IF(C83-E83+H83-(C83*($C$13+$I$13))+(B83*($B$13))&lt;0,0,C83-E83+H83-(C83*($C$13+$I$13))+(B83*($B$13)))</f>
        <v>159.17343162252678</v>
      </c>
      <c r="D84" s="3">
        <f>$D$14*B84</f>
        <v>5.6841292102147056</v>
      </c>
      <c r="E84" s="3">
        <f>$E$14*C84</f>
        <v>23.876014743379017</v>
      </c>
      <c r="F84" s="3">
        <f t="shared" si="30"/>
        <v>435.71486624279686</v>
      </c>
      <c r="G84" s="3">
        <f>$F$14*F83</f>
        <v>12.184641668676095</v>
      </c>
      <c r="H84" s="3">
        <f>$G$14*F83</f>
        <v>20.307736114460159</v>
      </c>
      <c r="I84" s="3">
        <f>$H$14*B84+$I$14*C84</f>
        <v>13.301396763997861</v>
      </c>
      <c r="J84" s="3">
        <f t="shared" si="31"/>
        <v>37.374079443945377</v>
      </c>
      <c r="K84" s="30">
        <f t="shared" si="29"/>
        <v>0.17301635184637371</v>
      </c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</row>
    <row r="85" spans="1:24" x14ac:dyDescent="0.25">
      <c r="A85" s="100"/>
      <c r="B85" s="3">
        <f>IF(B84-D84+G84-(B84*($B$13+$H$13))+(C84*($C$13))&lt;0,0,B84-D84+G84-(B84*($B$13+$H$13))+(C84*($C$13)))</f>
        <v>54.248979197916412</v>
      </c>
      <c r="C85" s="3">
        <f>IF(C84-E84+H84-(C84*($C$14+$I$14))+(B84*($B$14))&lt;0,0,C84-E84+H84-(C84*($C$14+$I$14))+(B84*($B$14)))</f>
        <v>151.96499451332357</v>
      </c>
      <c r="D85" s="3">
        <f>$D$15*B85</f>
        <v>5.4248979197916416</v>
      </c>
      <c r="E85" s="3">
        <f>$E$15*C85</f>
        <v>22.794749176998536</v>
      </c>
      <c r="F85" s="3">
        <f t="shared" si="30"/>
        <v>463.93451333958706</v>
      </c>
      <c r="G85" s="3">
        <f>$F$15*F84</f>
        <v>13.071445987283905</v>
      </c>
      <c r="H85" s="3">
        <f>$G$15*F84</f>
        <v>21.785743312139843</v>
      </c>
      <c r="I85" s="3">
        <f>$H$15*B85+$I$15*C85</f>
        <v>14.215946660220403</v>
      </c>
      <c r="J85" s="3">
        <f t="shared" si="31"/>
        <v>51.59002610416578</v>
      </c>
      <c r="K85" s="30">
        <f t="shared" si="29"/>
        <v>0.25017715907267729</v>
      </c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</row>
    <row r="86" spans="1:24" x14ac:dyDescent="0.25">
      <c r="A86" s="100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8" t="s">
        <v>119</v>
      </c>
      <c r="M86" s="7"/>
      <c r="N86" s="8" t="str">
        <f>"Coninuing Since  "&amp;$A$18</f>
        <v>Coninuing Since  New Fall 2022</v>
      </c>
      <c r="O86" s="7"/>
      <c r="P86" s="7"/>
      <c r="Q86" s="10" t="s">
        <v>120</v>
      </c>
      <c r="R86" s="12"/>
      <c r="S86" s="12"/>
      <c r="T86" s="12"/>
      <c r="U86" s="12"/>
      <c r="V86" s="12"/>
      <c r="W86" s="12"/>
      <c r="X86" s="12"/>
    </row>
    <row r="87" spans="1:24" x14ac:dyDescent="0.25">
      <c r="A87" s="10" t="str">
        <f>$A$17</f>
        <v>Semester</v>
      </c>
      <c r="B87" s="11" t="s">
        <v>84</v>
      </c>
      <c r="C87" s="11" t="s">
        <v>85</v>
      </c>
      <c r="D87" s="11" t="s">
        <v>95</v>
      </c>
      <c r="E87" s="11" t="s">
        <v>94</v>
      </c>
      <c r="F87" s="11" t="s">
        <v>86</v>
      </c>
      <c r="G87" s="11" t="s">
        <v>96</v>
      </c>
      <c r="H87" s="11" t="s">
        <v>97</v>
      </c>
      <c r="I87" s="11" t="s">
        <v>83</v>
      </c>
      <c r="J87" s="11" t="s">
        <v>87</v>
      </c>
      <c r="K87" s="11" t="s">
        <v>98</v>
      </c>
      <c r="L87" s="11" t="s">
        <v>102</v>
      </c>
      <c r="M87" s="11" t="s">
        <v>103</v>
      </c>
      <c r="N87" s="11" t="s">
        <v>102</v>
      </c>
      <c r="O87" s="11" t="s">
        <v>103</v>
      </c>
      <c r="P87" s="11" t="s">
        <v>102</v>
      </c>
      <c r="Q87" s="11" t="s">
        <v>103</v>
      </c>
      <c r="R87" s="12"/>
      <c r="S87" s="12"/>
      <c r="T87" s="12"/>
      <c r="U87" s="12"/>
      <c r="V87" s="12"/>
      <c r="W87" s="12"/>
      <c r="X87" s="12"/>
    </row>
    <row r="88" spans="1:24" x14ac:dyDescent="0.25">
      <c r="A88" s="10" t="str">
        <f>"New "&amp;$A$23</f>
        <v>New Spring 2024</v>
      </c>
      <c r="B88" s="92">
        <f>Enrollment!E4</f>
        <v>156.81600000000003</v>
      </c>
      <c r="C88" s="92">
        <f>Enrollment!E8</f>
        <v>39.204000000000008</v>
      </c>
      <c r="D88" s="3">
        <f>$D$4*B88</f>
        <v>15.681600000000003</v>
      </c>
      <c r="E88" s="3">
        <f>$E$4*C88</f>
        <v>5.8806000000000012</v>
      </c>
      <c r="F88" s="3">
        <f>D88+E88</f>
        <v>21.562200000000004</v>
      </c>
      <c r="G88" s="3">
        <v>0</v>
      </c>
      <c r="H88" s="3">
        <v>0</v>
      </c>
      <c r="I88" s="3">
        <f>$H$4*B88+$I$4*C88</f>
        <v>0</v>
      </c>
      <c r="J88" s="3">
        <f>I88</f>
        <v>0</v>
      </c>
      <c r="K88" s="30">
        <f>J88/(B88+C88)</f>
        <v>0</v>
      </c>
      <c r="L88" s="3">
        <f>L181</f>
        <v>472.17263490546588</v>
      </c>
      <c r="M88" s="3">
        <f>M181</f>
        <v>1056.9015394910857</v>
      </c>
      <c r="N88" s="5">
        <f>B75+B62+B49+B36+B23</f>
        <v>702.4725459</v>
      </c>
      <c r="O88" s="5">
        <f>C75+C62+C49+C36+C23</f>
        <v>657.91899560000002</v>
      </c>
      <c r="P88" s="5">
        <f>L88+N88</f>
        <v>1174.6451808054658</v>
      </c>
      <c r="Q88" s="5">
        <f>M88+O88</f>
        <v>1714.8205350910857</v>
      </c>
      <c r="R88" s="12"/>
      <c r="S88" s="12"/>
      <c r="T88" s="12"/>
      <c r="U88" s="12"/>
      <c r="V88" s="12"/>
      <c r="W88" s="12"/>
      <c r="X88" s="12"/>
    </row>
    <row r="89" spans="1:24" x14ac:dyDescent="0.25">
      <c r="A89" s="10" t="str">
        <f>$A$24</f>
        <v>Fall 2025</v>
      </c>
      <c r="B89" s="3">
        <f>IF(B88-D88+G88-(B88*($B$4+$H$4))+(C88*($C$4))&lt;0,0,B88-D88+G88-(B88*($B$4+$H$4))+(C88*($C$4)))</f>
        <v>113.69160000000002</v>
      </c>
      <c r="C89" s="3">
        <f>IF(C88-E88+H88-(C88*($C$4+$I$4))+(B88*($B$4))&lt;0,0,C88-E88+H88-(C88*($C$4+$I$4))+(B88*($B$4)))</f>
        <v>60.766200000000012</v>
      </c>
      <c r="D89" s="3">
        <f>$D$5*B89</f>
        <v>11.369160000000003</v>
      </c>
      <c r="E89" s="3">
        <f>$E$5*C89</f>
        <v>9.1149300000000011</v>
      </c>
      <c r="F89" s="3">
        <f>F88+D89+E89</f>
        <v>42.046290000000006</v>
      </c>
      <c r="G89" s="3">
        <f>$F$5*F88</f>
        <v>0.21562200000000004</v>
      </c>
      <c r="H89" s="3">
        <f>$G$5*F88</f>
        <v>0.43124400000000007</v>
      </c>
      <c r="I89" s="3">
        <f>$H$5*B89+$I$5*C89</f>
        <v>0</v>
      </c>
      <c r="J89" s="3">
        <f>J88+I89</f>
        <v>0</v>
      </c>
      <c r="K89" s="30">
        <f t="shared" ref="K89:K99" si="32">J89/(B89+C89)</f>
        <v>0</v>
      </c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</row>
    <row r="90" spans="1:24" x14ac:dyDescent="0.25">
      <c r="A90" s="10" t="str">
        <f>$A$25</f>
        <v>Spring 2025</v>
      </c>
      <c r="B90" s="3">
        <f>IF(B89-D89+G89-(B89*($B$5+$H$5))+(C89*($C$5))&lt;0,0,B89-D89+G89-(B89*($B$5+$H$5))+(C89*($C$5)))</f>
        <v>84.739446000000015</v>
      </c>
      <c r="C90" s="3">
        <f>IF(C89-E89+H89-(C89*($C$5+$I$5))+(B89*($B$5))&lt;0,0,C89-E89+H89-(C89*($C$5+$I$5))+(B89*($B$5)))</f>
        <v>69.881130000000013</v>
      </c>
      <c r="D90" s="3">
        <f>$D$6*B90</f>
        <v>8.4739446000000012</v>
      </c>
      <c r="E90" s="3">
        <f>$E$6*C90</f>
        <v>10.482169500000001</v>
      </c>
      <c r="F90" s="3">
        <f t="shared" ref="F90:F99" si="33">F89+D90+E90</f>
        <v>61.002404100000007</v>
      </c>
      <c r="G90" s="3">
        <f>$F$6*F89</f>
        <v>0.84092580000000017</v>
      </c>
      <c r="H90" s="3">
        <f>$G$6*F89</f>
        <v>1.2613887000000001</v>
      </c>
      <c r="I90" s="3">
        <f>$H$6*B90+$I$6*C90</f>
        <v>0</v>
      </c>
      <c r="J90" s="3">
        <f t="shared" ref="J90:J99" si="34">J89+I90</f>
        <v>0</v>
      </c>
      <c r="K90" s="30">
        <f t="shared" si="32"/>
        <v>0</v>
      </c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</row>
    <row r="91" spans="1:24" x14ac:dyDescent="0.25">
      <c r="A91" s="10" t="str">
        <f>$A$26</f>
        <v>Fall 2026</v>
      </c>
      <c r="B91" s="3">
        <f>IF(B90-D90+G90-(B90*($B$6+$H$6))+(C90*($C$6))&lt;0,0,B90-D90+G90-(B90*($B$6+$H$6))+(C90*($C$6)))</f>
        <v>65.451862080000012</v>
      </c>
      <c r="C91" s="3">
        <f>IF(C90-E90+H90-(C90*($C$6+$I$6))+(B90*($B$6))&lt;0,0,C90-E90+H90-(C90*($C$6+$I$6))+(B90*($B$6)))</f>
        <v>72.314914320000014</v>
      </c>
      <c r="D91" s="3">
        <f>$D$7*B91</f>
        <v>6.5451862080000014</v>
      </c>
      <c r="E91" s="3">
        <f>$E$7*C91</f>
        <v>10.847237148000001</v>
      </c>
      <c r="F91" s="3">
        <f t="shared" si="33"/>
        <v>78.394827456000016</v>
      </c>
      <c r="G91" s="3">
        <f>$F$7*F90</f>
        <v>1.8300721230000001</v>
      </c>
      <c r="H91" s="3">
        <f>$G$7*F90</f>
        <v>2.4400961640000003</v>
      </c>
      <c r="I91" s="3">
        <f>$H$7*B91+$I$7*C91</f>
        <v>0</v>
      </c>
      <c r="J91" s="3">
        <f t="shared" si="34"/>
        <v>0</v>
      </c>
      <c r="K91" s="30">
        <f t="shared" si="32"/>
        <v>0</v>
      </c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</row>
    <row r="92" spans="1:24" x14ac:dyDescent="0.25">
      <c r="A92" s="10" t="str">
        <f>$A$27</f>
        <v>Spring 2026</v>
      </c>
      <c r="B92" s="3">
        <f>IF(B91-D91+G91-(B91*($B$7+$H$7))+(C91*($C$7))&lt;0,0,B91-D91+G91-(B91*($B$7+$H$7))+(C91*($C$7)))</f>
        <v>52.914311148600007</v>
      </c>
      <c r="C92" s="3">
        <f>IF(C91-E91+H91-(C91*($C$7+$I$7))+(B91*($B$7))&lt;0,0,C91-E91+H91-(C91*($C$7+$I$7))+(B91*($B$7)))</f>
        <v>71.730210182400015</v>
      </c>
      <c r="D92" s="3">
        <f>$D$8*B92</f>
        <v>5.2914311148600008</v>
      </c>
      <c r="E92" s="3">
        <f>$E$8*C92</f>
        <v>10.759531527360002</v>
      </c>
      <c r="F92" s="3">
        <f t="shared" si="33"/>
        <v>94.445790098220016</v>
      </c>
      <c r="G92" s="3">
        <f>$F$8*F91</f>
        <v>2.3518448236800005</v>
      </c>
      <c r="H92" s="3">
        <f>$G$8*F91</f>
        <v>3.9197413728000008</v>
      </c>
      <c r="I92" s="3">
        <f>$H$8*B92+$I$8*C92</f>
        <v>0</v>
      </c>
      <c r="J92" s="3">
        <f t="shared" si="34"/>
        <v>0</v>
      </c>
      <c r="K92" s="30">
        <f t="shared" si="32"/>
        <v>0</v>
      </c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</row>
    <row r="93" spans="1:24" x14ac:dyDescent="0.25">
      <c r="A93" s="10" t="str">
        <f>$A$28</f>
        <v>Fall 2027</v>
      </c>
      <c r="B93" s="3">
        <f>IF(B92-D92+G92-(B92*($B$8+$H$8))+(C92*($C$8))&lt;0,0,B92-D92+G92-(B92*($B$8+$H$8))+(C92*($C$8)))</f>
        <v>44.448311199995999</v>
      </c>
      <c r="C93" s="3">
        <f>IF(C92-E92+H92-(C92*($C$8+$I$8))+(B92*($B$8))&lt;0,0,C92-E92+H92-(C92*($C$8+$I$8))+(B92*($B$8)))</f>
        <v>70.41683368526401</v>
      </c>
      <c r="D93" s="3">
        <f>$D$9*B93</f>
        <v>4.4448311199996002</v>
      </c>
      <c r="E93" s="3">
        <f>$E$9*C93</f>
        <v>10.562525052789601</v>
      </c>
      <c r="F93" s="3">
        <f t="shared" si="33"/>
        <v>109.45314627100922</v>
      </c>
      <c r="G93" s="3">
        <f>$F$9*F92</f>
        <v>2.8333737029466004</v>
      </c>
      <c r="H93" s="3">
        <f>$G$9*F92</f>
        <v>4.722289504911001</v>
      </c>
      <c r="I93" s="3">
        <f>$H$9*B93+$I$9*C93</f>
        <v>0</v>
      </c>
      <c r="J93" s="3">
        <f t="shared" si="34"/>
        <v>0</v>
      </c>
      <c r="K93" s="30">
        <f t="shared" si="32"/>
        <v>0</v>
      </c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</row>
    <row r="94" spans="1:24" x14ac:dyDescent="0.25">
      <c r="A94" s="10" t="str">
        <f>$A$29</f>
        <v>Spring 2027</v>
      </c>
      <c r="B94" s="3">
        <f>IF(B93-D93+G93-(B93*($B$9+$H$9))+(C93*($C$9))&lt;0,0,B93-D93+G93-(B93*($B$9+$H$9))+(C93*($C$9)))</f>
        <v>38.766459351470402</v>
      </c>
      <c r="C94" s="3">
        <f>IF(C93-E93+H93-(C93*($C$9+$I$9))+(B93*($B$9))&lt;0,0,C93-E93+H93-(C93*($C$9+$I$9))+(B93*($B$9)))</f>
        <v>68.646992568857996</v>
      </c>
      <c r="D94" s="3">
        <f>$D$10*B94</f>
        <v>3.8766459351470406</v>
      </c>
      <c r="E94" s="3">
        <f>$E$10*C94</f>
        <v>10.297048885328699</v>
      </c>
      <c r="F94" s="3">
        <f t="shared" si="33"/>
        <v>123.62684109148495</v>
      </c>
      <c r="G94" s="3">
        <f>$F$10*F93</f>
        <v>3.2835943881302763</v>
      </c>
      <c r="H94" s="3">
        <f>$G$10*F93</f>
        <v>5.472657313550461</v>
      </c>
      <c r="I94" s="3">
        <f>$H$10*B94+$I$10*C94</f>
        <v>0.38766459351470406</v>
      </c>
      <c r="J94" s="3">
        <f t="shared" si="34"/>
        <v>0.38766459351470406</v>
      </c>
      <c r="K94" s="30">
        <f t="shared" si="32"/>
        <v>3.6090879362321014E-3</v>
      </c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</row>
    <row r="95" spans="1:24" x14ac:dyDescent="0.25">
      <c r="A95" s="100"/>
      <c r="B95" s="3">
        <f>IF(B94-D94+G94-(B94*($B$10+$H$10))+(C94*($C$10))&lt;0,0,B94-D94+G94-(B94*($B$10+$H$10))+(C94*($C$10)))</f>
        <v>34.571163036442428</v>
      </c>
      <c r="C95" s="3">
        <f>IF(C94-E94+H94-(C94*($C$10+$I$10))+(B94*($B$10))&lt;0,0,C94-E94+H94-(C94*($C$10+$I$10))+(B94*($B$10)))</f>
        <v>67.037181171576265</v>
      </c>
      <c r="D95" s="3">
        <f>$D$11*B95</f>
        <v>3.4571163036442432</v>
      </c>
      <c r="E95" s="3">
        <f>$E$11*C95</f>
        <v>10.05557717573644</v>
      </c>
      <c r="F95" s="3">
        <f t="shared" si="33"/>
        <v>137.13953457086564</v>
      </c>
      <c r="G95" s="3">
        <f>$F$11*F94</f>
        <v>3.7088052327445484</v>
      </c>
      <c r="H95" s="3">
        <f>$G$11*F94</f>
        <v>6.1813420545742481</v>
      </c>
      <c r="I95" s="3">
        <f>$H$11*B95+$I$11*C95</f>
        <v>0.69142326072884852</v>
      </c>
      <c r="J95" s="3">
        <f t="shared" si="34"/>
        <v>1.0790878542435527</v>
      </c>
      <c r="K95" s="30">
        <f t="shared" si="32"/>
        <v>1.0620071241731676E-2</v>
      </c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</row>
    <row r="96" spans="1:24" x14ac:dyDescent="0.25">
      <c r="A96" s="100"/>
      <c r="B96" s="3">
        <f>IF(B95-D95+G95-(B95*($B$11+$H$11))+(C95*($C$11))&lt;0,0,B95-D95+G95-(B95*($B$11+$H$11))+(C95*($C$11)))</f>
        <v>31.500932802132056</v>
      </c>
      <c r="C96" s="3">
        <f>IF(C95-E95+H95-(C95*($C$11+$I$11))+(B95*($B$11))&lt;0,0,C95-E95+H95-(C95*($C$11+$I$11))+(B95*($B$11)))</f>
        <v>65.793441953095908</v>
      </c>
      <c r="D96" s="3">
        <f>$D$12*B96</f>
        <v>3.1500932802132056</v>
      </c>
      <c r="E96" s="3">
        <f>$E$12*C96</f>
        <v>9.8690162929643854</v>
      </c>
      <c r="F96" s="3">
        <f t="shared" si="33"/>
        <v>150.15864414404322</v>
      </c>
      <c r="G96" s="3">
        <f>$F$12*F95</f>
        <v>4.1141860371259691</v>
      </c>
      <c r="H96" s="3">
        <f>$G$12*F95</f>
        <v>6.8569767285432821</v>
      </c>
      <c r="I96" s="3">
        <f>$H$12*B96+$I$12*C96</f>
        <v>4.7251399203198083</v>
      </c>
      <c r="J96" s="3">
        <f t="shared" si="34"/>
        <v>5.804227774563361</v>
      </c>
      <c r="K96" s="30">
        <f t="shared" si="32"/>
        <v>5.9656355150701862E-2</v>
      </c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</row>
    <row r="97" spans="1:24" x14ac:dyDescent="0.25">
      <c r="A97" s="100"/>
      <c r="B97" s="3">
        <f>IF(B96-D96+G96-(B96*($B$12+$H$12))+(C96*($C$12))&lt;0,0,B96-D96+G96-(B96*($B$12+$H$12))+(C96*($C$12)))</f>
        <v>25.498968649437625</v>
      </c>
      <c r="C97" s="3">
        <f>IF(C96-E96+H96-(C96*($C$12+$I$12))+(B96*($B$12))&lt;0,0,C96-E96+H96-(C96*($C$12+$I$12))+(B96*($B$12)))</f>
        <v>65.022319377962177</v>
      </c>
      <c r="D97" s="3">
        <f>$D$13*B97</f>
        <v>2.5498968649437628</v>
      </c>
      <c r="E97" s="3">
        <f>$E$13*C97</f>
        <v>9.7533479066943265</v>
      </c>
      <c r="F97" s="3">
        <f t="shared" si="33"/>
        <v>162.46188891568133</v>
      </c>
      <c r="G97" s="3">
        <f>$F$13*F96</f>
        <v>4.5047593243212969</v>
      </c>
      <c r="H97" s="3">
        <f>$G$13*F96</f>
        <v>7.5079322072021615</v>
      </c>
      <c r="I97" s="3">
        <f>$H$13*B97+$I$13*C97</f>
        <v>3.8248452974156435</v>
      </c>
      <c r="J97" s="3">
        <f t="shared" si="34"/>
        <v>9.6290730719790041</v>
      </c>
      <c r="K97" s="30">
        <f t="shared" si="32"/>
        <v>0.10637357556229633</v>
      </c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</row>
    <row r="98" spans="1:24" x14ac:dyDescent="0.25">
      <c r="A98" s="100"/>
      <c r="B98" s="3">
        <f>IF(B97-D97+G97-(B97*($B$13+$H$13))+(C97*($C$13))&lt;0,0,B97-D97+G97-(B97*($B$13+$H$13))+(C97*($C$13)))</f>
        <v>22.736516840858823</v>
      </c>
      <c r="C98" s="3">
        <f>IF(C97-E97+H97-(C97*($C$13+$I$13))+(B97*($B$13))&lt;0,0,C97-E97+H97-(C97*($C$13+$I$13))+(B97*($B$13)))</f>
        <v>63.669372649010697</v>
      </c>
      <c r="D98" s="3">
        <f>$D$14*B98</f>
        <v>2.2736516840858823</v>
      </c>
      <c r="E98" s="3">
        <f>$E$14*C98</f>
        <v>9.5504058973516042</v>
      </c>
      <c r="F98" s="3">
        <f t="shared" si="33"/>
        <v>174.2859464971188</v>
      </c>
      <c r="G98" s="3">
        <f>$F$14*F97</f>
        <v>4.8738566674704398</v>
      </c>
      <c r="H98" s="3">
        <f>$G$14*F97</f>
        <v>8.1230944457840675</v>
      </c>
      <c r="I98" s="3">
        <f>$H$14*B98+$I$14*C98</f>
        <v>5.3205587055991437</v>
      </c>
      <c r="J98" s="3">
        <f t="shared" si="34"/>
        <v>14.949631777578148</v>
      </c>
      <c r="K98" s="30">
        <f t="shared" si="32"/>
        <v>0.17301635184637368</v>
      </c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</row>
    <row r="99" spans="1:24" x14ac:dyDescent="0.25">
      <c r="A99" s="100"/>
      <c r="B99" s="3">
        <f>IF(B98-D98+G98-(B98*($B$13+$H$13))+(C98*($C$13))&lt;0,0,B98-D98+G98-(B98*($B$13+$H$13))+(C98*($C$13)))</f>
        <v>21.699591679166573</v>
      </c>
      <c r="C99" s="3">
        <f>IF(C98-E98+H98-(C98*($C$14+$I$14))+(B98*($B$14))&lt;0,0,C98-E98+H98-(C98*($C$14+$I$14))+(B98*($B$14)))</f>
        <v>60.785997805329416</v>
      </c>
      <c r="D99" s="3">
        <f>$D$15*B99</f>
        <v>2.1699591679166574</v>
      </c>
      <c r="E99" s="3">
        <f>$E$15*C99</f>
        <v>9.117899670799412</v>
      </c>
      <c r="F99" s="3">
        <f t="shared" si="33"/>
        <v>185.57380533583486</v>
      </c>
      <c r="G99" s="3">
        <f>$F$15*F98</f>
        <v>5.2285783949135638</v>
      </c>
      <c r="H99" s="3">
        <f>$G$15*F98</f>
        <v>8.7142973248559397</v>
      </c>
      <c r="I99" s="3">
        <f>$H$15*B99+$I$15*C99</f>
        <v>5.6863786640881626</v>
      </c>
      <c r="J99" s="3">
        <f t="shared" si="34"/>
        <v>20.636010441666311</v>
      </c>
      <c r="K99" s="30">
        <f t="shared" si="32"/>
        <v>0.25017715907267729</v>
      </c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</row>
    <row r="100" spans="1:24" x14ac:dyDescent="0.25">
      <c r="A100" s="78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8" t="s">
        <v>119</v>
      </c>
      <c r="M100" s="7"/>
      <c r="N100" s="8" t="str">
        <f>"Coninuing Since  "&amp;$A$18</f>
        <v>Coninuing Since  New Fall 2022</v>
      </c>
      <c r="O100" s="7"/>
      <c r="P100" s="7"/>
      <c r="Q100" s="10" t="s">
        <v>120</v>
      </c>
      <c r="R100" s="12"/>
      <c r="S100" s="12"/>
      <c r="T100" s="12"/>
      <c r="U100" s="12"/>
      <c r="V100" s="12"/>
      <c r="W100" s="12"/>
      <c r="X100" s="12"/>
    </row>
    <row r="101" spans="1:24" x14ac:dyDescent="0.25">
      <c r="A101" s="10" t="str">
        <f>$A$17</f>
        <v>Semester</v>
      </c>
      <c r="B101" s="11" t="s">
        <v>84</v>
      </c>
      <c r="C101" s="11" t="s">
        <v>85</v>
      </c>
      <c r="D101" s="11" t="s">
        <v>95</v>
      </c>
      <c r="E101" s="11" t="s">
        <v>94</v>
      </c>
      <c r="F101" s="11" t="s">
        <v>86</v>
      </c>
      <c r="G101" s="11" t="s">
        <v>96</v>
      </c>
      <c r="H101" s="11" t="s">
        <v>97</v>
      </c>
      <c r="I101" s="11" t="s">
        <v>83</v>
      </c>
      <c r="J101" s="11" t="s">
        <v>87</v>
      </c>
      <c r="K101" s="11" t="s">
        <v>98</v>
      </c>
      <c r="L101" s="11" t="s">
        <v>102</v>
      </c>
      <c r="M101" s="11" t="s">
        <v>103</v>
      </c>
      <c r="N101" s="11" t="s">
        <v>102</v>
      </c>
      <c r="O101" s="11" t="s">
        <v>103</v>
      </c>
      <c r="P101" s="11" t="s">
        <v>102</v>
      </c>
      <c r="Q101" s="11" t="s">
        <v>103</v>
      </c>
      <c r="R101" s="12"/>
      <c r="S101" s="12"/>
      <c r="T101" s="12"/>
      <c r="U101" s="12"/>
      <c r="V101" s="12"/>
      <c r="W101" s="12"/>
      <c r="X101" s="12"/>
    </row>
    <row r="102" spans="1:24" x14ac:dyDescent="0.25">
      <c r="A102" s="10" t="str">
        <f>"New "&amp;$A$24</f>
        <v>New Fall 2025</v>
      </c>
      <c r="B102" s="92">
        <f>Enrollment!F3</f>
        <v>388.11959999999999</v>
      </c>
      <c r="C102" s="92">
        <f>Enrollment!F7</f>
        <v>97.029899999999998</v>
      </c>
      <c r="D102" s="3">
        <f>$D$4*B102</f>
        <v>38.811959999999999</v>
      </c>
      <c r="E102" s="3">
        <f>$E$4*C102</f>
        <v>14.554485</v>
      </c>
      <c r="F102" s="3">
        <f>D102+E102</f>
        <v>53.366444999999999</v>
      </c>
      <c r="G102" s="3">
        <v>0</v>
      </c>
      <c r="H102" s="3">
        <v>0</v>
      </c>
      <c r="I102" s="3">
        <f>$H$4*B102+$I$4*C102</f>
        <v>0</v>
      </c>
      <c r="J102" s="3">
        <f>I102</f>
        <v>0</v>
      </c>
      <c r="K102" s="30">
        <f>J102/(B102+C102)</f>
        <v>0</v>
      </c>
      <c r="L102" s="3">
        <f>L182</f>
        <v>367.53601040146589</v>
      </c>
      <c r="M102" s="3">
        <f>M182</f>
        <v>871.30215623608592</v>
      </c>
      <c r="N102" s="5">
        <f>B90+B77+B64+B51+B38+B25</f>
        <v>541.79743014569999</v>
      </c>
      <c r="O102" s="5">
        <f>C90+C77+C64+C51+C38+C25</f>
        <v>741.98003395060005</v>
      </c>
      <c r="P102" s="5">
        <f>L102+N102</f>
        <v>909.33344054716588</v>
      </c>
      <c r="Q102" s="5">
        <f>M102+O102</f>
        <v>1613.282190186686</v>
      </c>
      <c r="R102" s="12"/>
      <c r="S102" s="12"/>
      <c r="T102" s="12"/>
      <c r="U102" s="12"/>
      <c r="V102" s="12"/>
      <c r="W102" s="12"/>
      <c r="X102" s="12"/>
    </row>
    <row r="103" spans="1:24" x14ac:dyDescent="0.25">
      <c r="A103" s="10" t="str">
        <f>$A$25</f>
        <v>Spring 2025</v>
      </c>
      <c r="B103" s="3">
        <f>IF(B102-D102+G102-(B102*($B$4+$H$4))+(C102*($C$4))&lt;0,0,B102-D102+G102-(B102*($B$4+$H$4))+(C102*($C$4)))</f>
        <v>281.38670999999999</v>
      </c>
      <c r="C103" s="3">
        <f>IF(C102-E102+H102-(C102*($C$4+$I$4))+(B102*($B$4))&lt;0,0,C102-E102+H102-(C102*($C$4+$I$4))+(B102*($B$4)))</f>
        <v>150.396345</v>
      </c>
      <c r="D103" s="3">
        <f>$D$5*B103</f>
        <v>28.138671000000002</v>
      </c>
      <c r="E103" s="3">
        <f>$E$5*C103</f>
        <v>22.559451749999997</v>
      </c>
      <c r="F103" s="3">
        <f>F102+D103+E103</f>
        <v>104.06456774999999</v>
      </c>
      <c r="G103" s="3">
        <f>$F$5*F102</f>
        <v>0.53366444999999996</v>
      </c>
      <c r="H103" s="3">
        <f>$G$5*F102</f>
        <v>1.0673288999999999</v>
      </c>
      <c r="I103" s="3">
        <f>$H$5*B103+$I$5*C103</f>
        <v>0</v>
      </c>
      <c r="J103" s="3">
        <f>J102+I103</f>
        <v>0</v>
      </c>
      <c r="K103" s="30">
        <f t="shared" ref="K103:K113" si="35">J103/(B103+C103)</f>
        <v>0</v>
      </c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</row>
    <row r="104" spans="1:24" x14ac:dyDescent="0.25">
      <c r="A104" s="10" t="str">
        <f>$A$26</f>
        <v>Fall 2026</v>
      </c>
      <c r="B104" s="3">
        <f>IF(B103-D103+G103-(B103*($B$5+$H$5))+(C103*($C$5))&lt;0,0,B103-D103+G103-(B103*($B$5+$H$5))+(C103*($C$5)))</f>
        <v>209.73012885000003</v>
      </c>
      <c r="C104" s="3">
        <f>IF(C103-E103+H103-(C103*($C$5+$I$5))+(B103*($B$5))&lt;0,0,C103-E103+H103-(C103*($C$5+$I$5))+(B103*($B$5)))</f>
        <v>172.95579674999999</v>
      </c>
      <c r="D104" s="3">
        <f>$D$6*B104</f>
        <v>20.973012885000003</v>
      </c>
      <c r="E104" s="3">
        <f>$E$6*C104</f>
        <v>25.943369512499999</v>
      </c>
      <c r="F104" s="3">
        <f t="shared" ref="F104:F113" si="36">F103+D104+E104</f>
        <v>150.98095014749998</v>
      </c>
      <c r="G104" s="3">
        <f>$F$6*F103</f>
        <v>2.0812913549999998</v>
      </c>
      <c r="H104" s="3">
        <f>$G$6*F103</f>
        <v>3.1219370324999995</v>
      </c>
      <c r="I104" s="3">
        <f>$H$6*B104+$I$6*C104</f>
        <v>0</v>
      </c>
      <c r="J104" s="3">
        <f t="shared" ref="J104:J113" si="37">J103+I104</f>
        <v>0</v>
      </c>
      <c r="K104" s="30">
        <f t="shared" si="35"/>
        <v>0</v>
      </c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</row>
    <row r="105" spans="1:24" x14ac:dyDescent="0.25">
      <c r="A105" s="10" t="str">
        <f>$A$27</f>
        <v>Spring 2026</v>
      </c>
      <c r="B105" s="3">
        <f>IF(B104-D104+G104-(B104*($B$6+$H$6))+(C104*($C$6))&lt;0,0,B104-D104+G104-(B104*($B$6+$H$6))+(C104*($C$6)))</f>
        <v>161.99335864800003</v>
      </c>
      <c r="C105" s="3">
        <f>IF(C104-E104+H104-(C104*($C$6+$I$6))+(B104*($B$6))&lt;0,0,C104-E104+H104-(C104*($C$6+$I$6))+(B104*($B$6)))</f>
        <v>178.97941294200001</v>
      </c>
      <c r="D105" s="3">
        <f>$D$7*B105</f>
        <v>16.199335864800002</v>
      </c>
      <c r="E105" s="3">
        <f>$E$7*C105</f>
        <v>26.8469119413</v>
      </c>
      <c r="F105" s="3">
        <f t="shared" si="36"/>
        <v>194.02719795359997</v>
      </c>
      <c r="G105" s="3">
        <f>$F$7*F104</f>
        <v>4.5294285044249989</v>
      </c>
      <c r="H105" s="3">
        <f>$G$7*F104</f>
        <v>6.0392380058999997</v>
      </c>
      <c r="I105" s="3">
        <f>$H$7*B105+$I$7*C105</f>
        <v>0</v>
      </c>
      <c r="J105" s="3">
        <f t="shared" si="37"/>
        <v>0</v>
      </c>
      <c r="K105" s="30">
        <f t="shared" si="35"/>
        <v>0</v>
      </c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</row>
    <row r="106" spans="1:24" x14ac:dyDescent="0.25">
      <c r="A106" s="10" t="str">
        <f>$A$28</f>
        <v>Fall 2027</v>
      </c>
      <c r="B106" s="3">
        <f>IF(B105-D105+G105-(B105*($B$7+$H$7))+(C105*($C$7))&lt;0,0,B105-D105+G105-(B105*($B$7+$H$7))+(C105*($C$7)))</f>
        <v>130.96292009278503</v>
      </c>
      <c r="C106" s="3">
        <f>IF(C105-E105+H105-(C105*($C$7+$I$7))+(B105*($B$7))&lt;0,0,C105-E105+H105-(C105*($C$7+$I$7))+(B105*($B$7)))</f>
        <v>177.53227020144001</v>
      </c>
      <c r="D106" s="3">
        <f>$D$8*B106</f>
        <v>13.096292009278503</v>
      </c>
      <c r="E106" s="3">
        <f>$E$8*C106</f>
        <v>26.629840530216001</v>
      </c>
      <c r="F106" s="3">
        <f t="shared" si="36"/>
        <v>233.75333049309447</v>
      </c>
      <c r="G106" s="3">
        <f>$F$8*F105</f>
        <v>5.820815938607999</v>
      </c>
      <c r="H106" s="3">
        <f>$G$8*F105</f>
        <v>9.7013598976799997</v>
      </c>
      <c r="I106" s="3">
        <f>$H$8*B106+$I$8*C106</f>
        <v>0</v>
      </c>
      <c r="J106" s="3">
        <f t="shared" si="37"/>
        <v>0</v>
      </c>
      <c r="K106" s="30">
        <f t="shared" si="35"/>
        <v>0</v>
      </c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</row>
    <row r="107" spans="1:24" x14ac:dyDescent="0.25">
      <c r="A107" s="10" t="str">
        <f>$A$29</f>
        <v>Spring 2027</v>
      </c>
      <c r="B107" s="3">
        <f>IF(B106-D106+G106-(B106*($B$8+$H$8))+(C106*($C$8))&lt;0,0,B106-D106+G106-(B106*($B$8+$H$8))+(C106*($C$8)))</f>
        <v>110.00957021999011</v>
      </c>
      <c r="C107" s="3">
        <f>IF(C106-E106+H106-(C106*($C$8+$I$8))+(B106*($B$8))&lt;0,0,C106-E106+H106-(C106*($C$8+$I$8))+(B106*($B$8)))</f>
        <v>174.2816633710284</v>
      </c>
      <c r="D107" s="3">
        <f>$D$9*B107</f>
        <v>11.000957021999012</v>
      </c>
      <c r="E107" s="3">
        <f>$E$9*C107</f>
        <v>26.142249505654259</v>
      </c>
      <c r="F107" s="3">
        <f t="shared" si="36"/>
        <v>270.8965370207477</v>
      </c>
      <c r="G107" s="3">
        <f>$F$9*F106</f>
        <v>7.0125999147928342</v>
      </c>
      <c r="H107" s="3">
        <f>$G$9*F106</f>
        <v>11.687666524654723</v>
      </c>
      <c r="I107" s="3">
        <f>$H$9*B107+$I$9*C107</f>
        <v>0</v>
      </c>
      <c r="J107" s="3">
        <f t="shared" si="37"/>
        <v>0</v>
      </c>
      <c r="K107" s="30">
        <f t="shared" si="35"/>
        <v>0</v>
      </c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</row>
    <row r="108" spans="1:24" x14ac:dyDescent="0.25">
      <c r="A108" s="100"/>
      <c r="B108" s="3">
        <f>IF(B107-D107+G107-(B107*($B$9+$H$9))+(C107*($C$9))&lt;0,0,B107-D107+G107-(B107*($B$9+$H$9))+(C107*($C$9)))</f>
        <v>95.946986894889235</v>
      </c>
      <c r="C108" s="3">
        <f>IF(C107-E107+H107-(C107*($C$9+$I$9))+(B107*($B$9))&lt;0,0,C107-E107+H107-(C107*($C$9+$I$9))+(B107*($B$9)))</f>
        <v>169.90130660792354</v>
      </c>
      <c r="D108" s="3">
        <f>$D$10*B108</f>
        <v>9.5946986894889239</v>
      </c>
      <c r="E108" s="3">
        <f>$E$10*C108</f>
        <v>25.48519599118853</v>
      </c>
      <c r="F108" s="3">
        <f t="shared" si="36"/>
        <v>305.97643170142516</v>
      </c>
      <c r="G108" s="3">
        <f>$F$10*F107</f>
        <v>8.1268961106224307</v>
      </c>
      <c r="H108" s="3">
        <f>$G$10*F107</f>
        <v>13.544826851037385</v>
      </c>
      <c r="I108" s="3">
        <f>$H$10*B108+$I$10*C108</f>
        <v>0.95946986894889241</v>
      </c>
      <c r="J108" s="3">
        <f t="shared" si="37"/>
        <v>0.95946986894889241</v>
      </c>
      <c r="K108" s="30">
        <f t="shared" si="35"/>
        <v>3.6090879362321005E-3</v>
      </c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</row>
    <row r="109" spans="1:24" x14ac:dyDescent="0.25">
      <c r="A109" s="100"/>
      <c r="B109" s="3">
        <f>IF(B108-D108+G108-(B108*($B$10+$H$10))+(C108*($C$10))&lt;0,0,B108-D108+G108-(B108*($B$10+$H$10))+(C108*($C$10)))</f>
        <v>85.563628515195006</v>
      </c>
      <c r="C109" s="3">
        <f>IF(C108-E108+H108-(C108*($C$10+$I$10))+(B108*($B$10))&lt;0,0,C108-E108+H108-(C108*($C$10+$I$10))+(B108*($B$10)))</f>
        <v>165.91702339965124</v>
      </c>
      <c r="D109" s="3">
        <f>$D$11*B109</f>
        <v>8.5563628515195003</v>
      </c>
      <c r="E109" s="3">
        <f>$E$11*C109</f>
        <v>24.887553509947686</v>
      </c>
      <c r="F109" s="3">
        <f t="shared" si="36"/>
        <v>339.42034806289234</v>
      </c>
      <c r="G109" s="3">
        <f>$F$11*F108</f>
        <v>9.1792929510427541</v>
      </c>
      <c r="H109" s="3">
        <f>$G$11*F108</f>
        <v>15.298821585071259</v>
      </c>
      <c r="I109" s="3">
        <f>$H$11*B109+$I$11*C109</f>
        <v>1.7112725703039002</v>
      </c>
      <c r="J109" s="3">
        <f t="shared" si="37"/>
        <v>2.6707424392527925</v>
      </c>
      <c r="K109" s="30">
        <f t="shared" si="35"/>
        <v>1.0620071241731676E-2</v>
      </c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</row>
    <row r="110" spans="1:24" x14ac:dyDescent="0.25">
      <c r="A110" s="100"/>
      <c r="B110" s="3">
        <f>IF(B109-D109+G109-(B109*($B$11+$H$11))+(C109*($C$11))&lt;0,0,B109-D109+G109-(B109*($B$11+$H$11))+(C109*($C$11)))</f>
        <v>77.964808685276836</v>
      </c>
      <c r="C110" s="3">
        <f>IF(C109-E109+H109-(C109*($C$11+$I$11))+(B109*($B$11))&lt;0,0,C109-E109+H109-(C109*($C$11+$I$11))+(B109*($B$11)))</f>
        <v>162.83876883391238</v>
      </c>
      <c r="D110" s="3">
        <f>$D$12*B110</f>
        <v>7.7964808685276843</v>
      </c>
      <c r="E110" s="3">
        <f>$E$12*C110</f>
        <v>24.425815325086855</v>
      </c>
      <c r="F110" s="3">
        <f t="shared" si="36"/>
        <v>371.64264425650686</v>
      </c>
      <c r="G110" s="3">
        <f>$F$12*F109</f>
        <v>10.182610441886769</v>
      </c>
      <c r="H110" s="3">
        <f>$G$12*F109</f>
        <v>16.971017403144618</v>
      </c>
      <c r="I110" s="3">
        <f>$H$12*B110+$I$12*C110</f>
        <v>11.694721302791525</v>
      </c>
      <c r="J110" s="3">
        <f t="shared" si="37"/>
        <v>14.365463742044318</v>
      </c>
      <c r="K110" s="30">
        <f t="shared" si="35"/>
        <v>5.9656355150701855E-2</v>
      </c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</row>
    <row r="111" spans="1:24" x14ac:dyDescent="0.25">
      <c r="A111" s="100"/>
      <c r="B111" s="3">
        <f>IF(B110-D110+G110-(B110*($B$12+$H$12))+(C110*($C$12))&lt;0,0,B110-D110+G110-(B110*($B$12+$H$12))+(C110*($C$12)))</f>
        <v>63.109947407358121</v>
      </c>
      <c r="C111" s="3">
        <f>IF(C110-E110+H110-(C110*($C$12+$I$12))+(B110*($B$12))&lt;0,0,C110-E110+H110-(C110*($C$12+$I$12))+(B110*($B$12)))</f>
        <v>160.93024046045645</v>
      </c>
      <c r="D111" s="3">
        <f>$D$13*B111</f>
        <v>6.3109947407358122</v>
      </c>
      <c r="E111" s="3">
        <f>$E$13*C111</f>
        <v>24.139536069068466</v>
      </c>
      <c r="F111" s="3">
        <f t="shared" si="36"/>
        <v>402.09317506631112</v>
      </c>
      <c r="G111" s="3">
        <f>$F$13*F110</f>
        <v>11.149279327695206</v>
      </c>
      <c r="H111" s="3">
        <f>$G$13*F110</f>
        <v>18.582132212825343</v>
      </c>
      <c r="I111" s="3">
        <f>$H$13*B111+$I$13*C111</f>
        <v>9.466492111103717</v>
      </c>
      <c r="J111" s="3">
        <f t="shared" si="37"/>
        <v>23.831955853148035</v>
      </c>
      <c r="K111" s="30">
        <f t="shared" si="35"/>
        <v>0.10637357556229632</v>
      </c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</row>
    <row r="112" spans="1:24" x14ac:dyDescent="0.25">
      <c r="A112" s="100"/>
      <c r="B112" s="3">
        <f>IF(B111-D111+G111-(B111*($B$13+$H$13))+(C111*($C$13))&lt;0,0,B111-D111+G111-(B111*($B$13+$H$13))+(C111*($C$13)))</f>
        <v>56.272879181125589</v>
      </c>
      <c r="C112" s="3">
        <f>IF(C111-E111+H111-(C111*($C$13+$I$13))+(B111*($B$13))&lt;0,0,C111-E111+H111-(C111*($C$13+$I$13))+(B111*($B$13)))</f>
        <v>157.58169730630152</v>
      </c>
      <c r="D112" s="3">
        <f>$D$14*B112</f>
        <v>5.6272879181125592</v>
      </c>
      <c r="E112" s="3">
        <f>$E$14*C112</f>
        <v>23.637254595945226</v>
      </c>
      <c r="F112" s="3">
        <f t="shared" si="36"/>
        <v>431.35771758036896</v>
      </c>
      <c r="G112" s="3">
        <f>$F$14*F111</f>
        <v>12.062795251989334</v>
      </c>
      <c r="H112" s="3">
        <f>$G$14*F111</f>
        <v>20.104658753315558</v>
      </c>
      <c r="I112" s="3">
        <f>$H$14*B112+$I$14*C112</f>
        <v>13.168382796357882</v>
      </c>
      <c r="J112" s="3">
        <f t="shared" si="37"/>
        <v>37.00033864950592</v>
      </c>
      <c r="K112" s="30">
        <f t="shared" si="35"/>
        <v>0.17301635184637368</v>
      </c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</row>
    <row r="113" spans="1:24" x14ac:dyDescent="0.25">
      <c r="A113" s="78"/>
      <c r="B113" s="3">
        <f>IF(B112-D112+G112-(B112*($B$13+$H$13))+(C112*($C$13))&lt;0,0,B112-D112+G112-(B112*($B$13+$H$13))+(C112*($C$13)))</f>
        <v>53.706489405937262</v>
      </c>
      <c r="C113" s="3">
        <f>IF(C112-E112+H112-(C112*($C$14+$I$14))+(B112*($B$14))&lt;0,0,C112-E112+H112-(C112*($C$14+$I$14))+(B112*($B$14)))</f>
        <v>150.44534456819034</v>
      </c>
      <c r="D113" s="3">
        <f>$D$15*B113</f>
        <v>5.3706489405937266</v>
      </c>
      <c r="E113" s="3">
        <f>$E$15*C113</f>
        <v>22.566801685228551</v>
      </c>
      <c r="F113" s="3">
        <f t="shared" si="36"/>
        <v>459.29516820619125</v>
      </c>
      <c r="G113" s="3">
        <f>$F$15*F112</f>
        <v>12.940731527411069</v>
      </c>
      <c r="H113" s="3">
        <f>$G$15*F112</f>
        <v>21.567885879018448</v>
      </c>
      <c r="I113" s="3">
        <f>$H$15*B113+$I$15*C113</f>
        <v>14.073787193618202</v>
      </c>
      <c r="J113" s="3">
        <f t="shared" si="37"/>
        <v>51.074125843124122</v>
      </c>
      <c r="K113" s="30">
        <f t="shared" si="35"/>
        <v>0.25017715907267724</v>
      </c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</row>
    <row r="114" spans="1:24" x14ac:dyDescent="0.25">
      <c r="A114" s="78"/>
      <c r="B114" s="59"/>
      <c r="C114" s="59"/>
      <c r="D114" s="59"/>
      <c r="E114" s="59"/>
      <c r="F114" s="59"/>
      <c r="G114" s="59"/>
      <c r="H114" s="59"/>
      <c r="I114" s="59"/>
      <c r="J114" s="59"/>
      <c r="K114" s="91"/>
      <c r="L114" s="8" t="s">
        <v>119</v>
      </c>
      <c r="M114" s="7"/>
      <c r="N114" s="8" t="str">
        <f>"Coninuing Since  "&amp;$A$18</f>
        <v>Coninuing Since  New Fall 2022</v>
      </c>
      <c r="O114" s="7"/>
      <c r="P114" s="7"/>
      <c r="Q114" s="10" t="s">
        <v>120</v>
      </c>
      <c r="R114" s="12"/>
      <c r="S114" s="12"/>
      <c r="T114" s="12"/>
      <c r="U114" s="12"/>
      <c r="V114" s="12"/>
      <c r="W114" s="12"/>
      <c r="X114" s="12"/>
    </row>
    <row r="115" spans="1:24" x14ac:dyDescent="0.25">
      <c r="A115" s="10" t="str">
        <f>$A$17</f>
        <v>Semester</v>
      </c>
      <c r="B115" s="11" t="s">
        <v>84</v>
      </c>
      <c r="C115" s="11" t="s">
        <v>85</v>
      </c>
      <c r="D115" s="11" t="s">
        <v>95</v>
      </c>
      <c r="E115" s="11" t="s">
        <v>94</v>
      </c>
      <c r="F115" s="11" t="s">
        <v>86</v>
      </c>
      <c r="G115" s="11" t="s">
        <v>96</v>
      </c>
      <c r="H115" s="11" t="s">
        <v>97</v>
      </c>
      <c r="I115" s="11" t="s">
        <v>83</v>
      </c>
      <c r="J115" s="11" t="s">
        <v>87</v>
      </c>
      <c r="K115" s="11" t="s">
        <v>98</v>
      </c>
      <c r="L115" s="11" t="s">
        <v>102</v>
      </c>
      <c r="M115" s="11" t="s">
        <v>103</v>
      </c>
      <c r="N115" s="11" t="s">
        <v>102</v>
      </c>
      <c r="O115" s="11" t="s">
        <v>103</v>
      </c>
      <c r="P115" s="11" t="s">
        <v>102</v>
      </c>
      <c r="Q115" s="11" t="s">
        <v>103</v>
      </c>
      <c r="R115" s="12"/>
      <c r="S115" s="12"/>
      <c r="T115" s="12"/>
      <c r="U115" s="12"/>
      <c r="V115" s="12"/>
      <c r="W115" s="12"/>
      <c r="X115" s="12"/>
    </row>
    <row r="116" spans="1:24" x14ac:dyDescent="0.25">
      <c r="A116" s="10" t="str">
        <f>"New "&amp;$A$25</f>
        <v>New Spring 2025</v>
      </c>
      <c r="B116" s="92">
        <f>Enrollment!E4</f>
        <v>156.81600000000003</v>
      </c>
      <c r="C116" s="92">
        <f>Enrollment!E8</f>
        <v>39.204000000000008</v>
      </c>
      <c r="D116" s="3">
        <f>$D$4*B116</f>
        <v>15.681600000000003</v>
      </c>
      <c r="E116" s="3">
        <f>$E$4*C116</f>
        <v>5.8806000000000012</v>
      </c>
      <c r="F116" s="3">
        <f>D116+E116</f>
        <v>21.562200000000004</v>
      </c>
      <c r="G116" s="3">
        <v>0</v>
      </c>
      <c r="H116" s="3">
        <v>0</v>
      </c>
      <c r="I116" s="3">
        <f>$H$4*B116+$I$4*C116</f>
        <v>0</v>
      </c>
      <c r="J116" s="3">
        <f>I116</f>
        <v>0</v>
      </c>
      <c r="K116" s="30">
        <f>J116/(B116+C116)</f>
        <v>0</v>
      </c>
      <c r="L116" s="3">
        <f>L183</f>
        <v>274.16835532273592</v>
      </c>
      <c r="M116" s="3">
        <f>M183</f>
        <v>690.0860242309459</v>
      </c>
      <c r="N116" s="5">
        <f>B103+B91+B78+B65+B52+B39+B26</f>
        <v>737.54115438437202</v>
      </c>
      <c r="O116" s="5">
        <f>C103+C91+C78+C65+C52+C39+C26</f>
        <v>882.73748675605407</v>
      </c>
      <c r="P116" s="5">
        <f>L116+N116</f>
        <v>1011.7095097071079</v>
      </c>
      <c r="Q116" s="5">
        <f>M116+O116</f>
        <v>1572.823510987</v>
      </c>
      <c r="R116" s="12"/>
      <c r="S116" s="12"/>
      <c r="T116" s="12"/>
      <c r="U116" s="12"/>
      <c r="V116" s="12"/>
      <c r="W116" s="12"/>
      <c r="X116" s="12"/>
    </row>
    <row r="117" spans="1:24" x14ac:dyDescent="0.25">
      <c r="A117" s="10" t="str">
        <f>$A$26</f>
        <v>Fall 2026</v>
      </c>
      <c r="B117" s="3">
        <f>IF(B116-D116+G116-(B116*($B$4+$H$4))+(C116*($C$4))&lt;0,0,B116-D116+G116-(B116*($B$4+$H$4))+(C116*($C$4)))</f>
        <v>113.69160000000002</v>
      </c>
      <c r="C117" s="3">
        <f>IF(C116-E116+H116-(C116*($C$4+$I$4))+(B116*($B$4))&lt;0,0,C116-E116+H116-(C116*($C$4+$I$4))+(B116*($B$4)))</f>
        <v>60.766200000000012</v>
      </c>
      <c r="D117" s="3">
        <f>$D$5*B117</f>
        <v>11.369160000000003</v>
      </c>
      <c r="E117" s="3">
        <f>$E$5*C117</f>
        <v>9.1149300000000011</v>
      </c>
      <c r="F117" s="3">
        <f>F116+D117+E117</f>
        <v>42.046290000000006</v>
      </c>
      <c r="G117" s="3">
        <f>$F$5*F116</f>
        <v>0.21562200000000004</v>
      </c>
      <c r="H117" s="3">
        <f>$G$5*F116</f>
        <v>0.43124400000000007</v>
      </c>
      <c r="I117" s="3">
        <f>$H$5*B117+$I$5*C117</f>
        <v>0</v>
      </c>
      <c r="J117" s="3">
        <f>J116+I117</f>
        <v>0</v>
      </c>
      <c r="K117" s="30">
        <f t="shared" ref="K117:K127" si="38">J117/(B117+C117)</f>
        <v>0</v>
      </c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</row>
    <row r="118" spans="1:24" x14ac:dyDescent="0.25">
      <c r="A118" s="10" t="str">
        <f>$A$27</f>
        <v>Spring 2026</v>
      </c>
      <c r="B118" s="3">
        <f>IF(B117-D117+G117-(B117*($B$5+$H$5))+(C117*($C$5))&lt;0,0,B117-D117+G117-(B117*($B$5+$H$5))+(C117*($C$5)))</f>
        <v>84.739446000000015</v>
      </c>
      <c r="C118" s="3">
        <f>IF(C117-E117+H117-(C117*($C$5+$I$5))+(B117*($B$5))&lt;0,0,C117-E117+H117-(C117*($C$5+$I$5))+(B117*($B$5)))</f>
        <v>69.881130000000013</v>
      </c>
      <c r="D118" s="3">
        <f>$D$6*B118</f>
        <v>8.4739446000000012</v>
      </c>
      <c r="E118" s="3">
        <f>$E$6*C118</f>
        <v>10.482169500000001</v>
      </c>
      <c r="F118" s="3">
        <f t="shared" ref="F118:F127" si="39">F117+D118+E118</f>
        <v>61.002404100000007</v>
      </c>
      <c r="G118" s="3">
        <f>$F$6*F117</f>
        <v>0.84092580000000017</v>
      </c>
      <c r="H118" s="3">
        <f>$G$6*F117</f>
        <v>1.2613887000000001</v>
      </c>
      <c r="I118" s="3">
        <f>$H$6*B118+$I$6*C118</f>
        <v>0</v>
      </c>
      <c r="J118" s="3">
        <f t="shared" ref="J118:J127" si="40">J117+I118</f>
        <v>0</v>
      </c>
      <c r="K118" s="30">
        <f t="shared" si="38"/>
        <v>0</v>
      </c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</row>
    <row r="119" spans="1:24" x14ac:dyDescent="0.25">
      <c r="A119" s="10" t="str">
        <f>$A$28</f>
        <v>Fall 2027</v>
      </c>
      <c r="B119" s="3">
        <f>IF(B118-D118+G118-(B118*($B$6+$H$6))+(C118*($C$6))&lt;0,0,B118-D118+G118-(B118*($B$6+$H$6))+(C118*($C$6)))</f>
        <v>65.451862080000012</v>
      </c>
      <c r="C119" s="3">
        <f>IF(C118-E118+H118-(C118*($C$6+$I$6))+(B118*($B$6))&lt;0,0,C118-E118+H118-(C118*($C$6+$I$6))+(B118*($B$6)))</f>
        <v>72.314914320000014</v>
      </c>
      <c r="D119" s="3">
        <f>$D$7*B119</f>
        <v>6.5451862080000014</v>
      </c>
      <c r="E119" s="3">
        <f>$E$7*C119</f>
        <v>10.847237148000001</v>
      </c>
      <c r="F119" s="3">
        <f t="shared" si="39"/>
        <v>78.394827456000016</v>
      </c>
      <c r="G119" s="3">
        <f>$F$7*F118</f>
        <v>1.8300721230000001</v>
      </c>
      <c r="H119" s="3">
        <f>$G$7*F118</f>
        <v>2.4400961640000003</v>
      </c>
      <c r="I119" s="3">
        <f>$H$7*B119+$I$7*C119</f>
        <v>0</v>
      </c>
      <c r="J119" s="3">
        <f t="shared" si="40"/>
        <v>0</v>
      </c>
      <c r="K119" s="30">
        <f t="shared" si="38"/>
        <v>0</v>
      </c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</row>
    <row r="120" spans="1:24" x14ac:dyDescent="0.25">
      <c r="A120" s="10" t="str">
        <f>$A$29</f>
        <v>Spring 2027</v>
      </c>
      <c r="B120" s="3">
        <f>IF(B119-D119+G119-(B119*($B$7+$H$7))+(C119*($C$7))&lt;0,0,B119-D119+G119-(B119*($B$7+$H$7))+(C119*($C$7)))</f>
        <v>52.914311148600007</v>
      </c>
      <c r="C120" s="3">
        <f>IF(C119-E119+H119-(C119*($C$7+$I$7))+(B119*($B$7))&lt;0,0,C119-E119+H119-(C119*($C$7+$I$7))+(B119*($B$7)))</f>
        <v>71.730210182400015</v>
      </c>
      <c r="D120" s="3">
        <f>$D$8*B120</f>
        <v>5.2914311148600008</v>
      </c>
      <c r="E120" s="3">
        <f>$E$8*C120</f>
        <v>10.759531527360002</v>
      </c>
      <c r="F120" s="3">
        <f t="shared" si="39"/>
        <v>94.445790098220016</v>
      </c>
      <c r="G120" s="3">
        <f>$F$8*F119</f>
        <v>2.3518448236800005</v>
      </c>
      <c r="H120" s="3">
        <f>$G$8*F119</f>
        <v>3.9197413728000008</v>
      </c>
      <c r="I120" s="3">
        <f>$H$8*B120+$I$8*C120</f>
        <v>0</v>
      </c>
      <c r="J120" s="3">
        <f t="shared" si="40"/>
        <v>0</v>
      </c>
      <c r="K120" s="30">
        <f t="shared" si="38"/>
        <v>0</v>
      </c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</row>
    <row r="121" spans="1:24" x14ac:dyDescent="0.25">
      <c r="A121" s="100"/>
      <c r="B121" s="3">
        <f>IF(B120-D120+G120-(B120*($B$8+$H$8))+(C120*($C$8))&lt;0,0,B120-D120+G120-(B120*($B$8+$H$8))+(C120*($C$8)))</f>
        <v>44.448311199995999</v>
      </c>
      <c r="C121" s="3">
        <f>IF(C120-E120+H120-(C120*($C$8+$I$8))+(B120*($B$8))&lt;0,0,C120-E120+H120-(C120*($C$8+$I$8))+(B120*($B$8)))</f>
        <v>70.41683368526401</v>
      </c>
      <c r="D121" s="3">
        <f>$D$9*B121</f>
        <v>4.4448311199996002</v>
      </c>
      <c r="E121" s="3">
        <f>$E$9*C121</f>
        <v>10.562525052789601</v>
      </c>
      <c r="F121" s="3">
        <f t="shared" si="39"/>
        <v>109.45314627100922</v>
      </c>
      <c r="G121" s="3">
        <f>$F$9*F120</f>
        <v>2.8333737029466004</v>
      </c>
      <c r="H121" s="3">
        <f>$G$9*F120</f>
        <v>4.722289504911001</v>
      </c>
      <c r="I121" s="3">
        <f>$H$9*B121+$I$9*C121</f>
        <v>0</v>
      </c>
      <c r="J121" s="3">
        <f t="shared" si="40"/>
        <v>0</v>
      </c>
      <c r="K121" s="30">
        <f t="shared" si="38"/>
        <v>0</v>
      </c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</row>
    <row r="122" spans="1:24" x14ac:dyDescent="0.25">
      <c r="A122" s="100"/>
      <c r="B122" s="3">
        <f>IF(B121-D121+G121-(B121*($B$9+$H$9))+(C121*($C$9))&lt;0,0,B121-D121+G121-(B121*($B$9+$H$9))+(C121*($C$9)))</f>
        <v>38.766459351470402</v>
      </c>
      <c r="C122" s="3">
        <f>IF(C121-E121+H121-(C121*($C$9+$I$9))+(B121*($B$9))&lt;0,0,C121-E121+H121-(C121*($C$9+$I$9))+(B121*($B$9)))</f>
        <v>68.646992568857996</v>
      </c>
      <c r="D122" s="3">
        <f>$D$10*B122</f>
        <v>3.8766459351470406</v>
      </c>
      <c r="E122" s="3">
        <f>$E$10*C122</f>
        <v>10.297048885328699</v>
      </c>
      <c r="F122" s="3">
        <f t="shared" si="39"/>
        <v>123.62684109148495</v>
      </c>
      <c r="G122" s="3">
        <f>$F$10*F121</f>
        <v>3.2835943881302763</v>
      </c>
      <c r="H122" s="3">
        <f>$G$10*F121</f>
        <v>5.472657313550461</v>
      </c>
      <c r="I122" s="3">
        <f>$H$10*B122+$I$10*C122</f>
        <v>0.38766459351470406</v>
      </c>
      <c r="J122" s="3">
        <f t="shared" si="40"/>
        <v>0.38766459351470406</v>
      </c>
      <c r="K122" s="30">
        <f t="shared" si="38"/>
        <v>3.6090879362321014E-3</v>
      </c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</row>
    <row r="123" spans="1:24" x14ac:dyDescent="0.25">
      <c r="A123" s="100"/>
      <c r="B123" s="3">
        <f>IF(B122-D122+G122-(B122*($B$10+$H$10))+(C122*($C$10))&lt;0,0,B122-D122+G122-(B122*($B$10+$H$10))+(C122*($C$10)))</f>
        <v>34.571163036442428</v>
      </c>
      <c r="C123" s="3">
        <f>IF(C122-E122+H122-(C122*($C$10+$I$10))+(B122*($B$10))&lt;0,0,C122-E122+H122-(C122*($C$10+$I$10))+(B122*($B$10)))</f>
        <v>67.037181171576265</v>
      </c>
      <c r="D123" s="3">
        <f>$D$11*B123</f>
        <v>3.4571163036442432</v>
      </c>
      <c r="E123" s="3">
        <f>$E$11*C123</f>
        <v>10.05557717573644</v>
      </c>
      <c r="F123" s="3">
        <f t="shared" si="39"/>
        <v>137.13953457086564</v>
      </c>
      <c r="G123" s="3">
        <f>$F$11*F122</f>
        <v>3.7088052327445484</v>
      </c>
      <c r="H123" s="3">
        <f>$G$11*F122</f>
        <v>6.1813420545742481</v>
      </c>
      <c r="I123" s="3">
        <f>$H$11*B123+$I$11*C123</f>
        <v>0.69142326072884852</v>
      </c>
      <c r="J123" s="3">
        <f t="shared" si="40"/>
        <v>1.0790878542435527</v>
      </c>
      <c r="K123" s="30">
        <f t="shared" si="38"/>
        <v>1.0620071241731676E-2</v>
      </c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</row>
    <row r="124" spans="1:24" x14ac:dyDescent="0.25">
      <c r="A124" s="100"/>
      <c r="B124" s="3">
        <f>IF(B123-D123+G123-(B123*($B$11+$H$11))+(C123*($C$11))&lt;0,0,B123-D123+G123-(B123*($B$11+$H$11))+(C123*($C$11)))</f>
        <v>31.500932802132056</v>
      </c>
      <c r="C124" s="3">
        <f>IF(C123-E123+H123-(C123*($C$11+$I$11))+(B123*($B$11))&lt;0,0,C123-E123+H123-(C123*($C$11+$I$11))+(B123*($B$11)))</f>
        <v>65.793441953095908</v>
      </c>
      <c r="D124" s="3">
        <f>$D$12*B124</f>
        <v>3.1500932802132056</v>
      </c>
      <c r="E124" s="3">
        <f>$E$12*C124</f>
        <v>9.8690162929643854</v>
      </c>
      <c r="F124" s="3">
        <f t="shared" si="39"/>
        <v>150.15864414404322</v>
      </c>
      <c r="G124" s="3">
        <f>$F$12*F123</f>
        <v>4.1141860371259691</v>
      </c>
      <c r="H124" s="3">
        <f>$G$12*F123</f>
        <v>6.8569767285432821</v>
      </c>
      <c r="I124" s="3">
        <f>$H$12*B124+$I$12*C124</f>
        <v>4.7251399203198083</v>
      </c>
      <c r="J124" s="3">
        <f t="shared" si="40"/>
        <v>5.804227774563361</v>
      </c>
      <c r="K124" s="30">
        <f t="shared" si="38"/>
        <v>5.9656355150701862E-2</v>
      </c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</row>
    <row r="125" spans="1:24" x14ac:dyDescent="0.25">
      <c r="A125" s="100"/>
      <c r="B125" s="3">
        <f>IF(B124-D124+G124-(B124*($B$12+$H$12))+(C124*($C$12))&lt;0,0,B124-D124+G124-(B124*($B$12+$H$12))+(C124*($C$12)))</f>
        <v>25.498968649437625</v>
      </c>
      <c r="C125" s="3">
        <f>IF(C124-E124+H124-(C124*($C$12+$I$12))+(B124*($B$12))&lt;0,0,C124-E124+H124-(C124*($C$12+$I$12))+(B124*($B$12)))</f>
        <v>65.022319377962177</v>
      </c>
      <c r="D125" s="3">
        <f>$D$13*B125</f>
        <v>2.5498968649437628</v>
      </c>
      <c r="E125" s="3">
        <f>$E$13*C125</f>
        <v>9.7533479066943265</v>
      </c>
      <c r="F125" s="3">
        <f t="shared" si="39"/>
        <v>162.46188891568133</v>
      </c>
      <c r="G125" s="3">
        <f>$F$13*F124</f>
        <v>4.5047593243212969</v>
      </c>
      <c r="H125" s="3">
        <f>$G$13*F124</f>
        <v>7.5079322072021615</v>
      </c>
      <c r="I125" s="3">
        <f>$H$13*B125+$I$13*C125</f>
        <v>3.8248452974156435</v>
      </c>
      <c r="J125" s="3">
        <f t="shared" si="40"/>
        <v>9.6290730719790041</v>
      </c>
      <c r="K125" s="30">
        <f t="shared" si="38"/>
        <v>0.10637357556229633</v>
      </c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</row>
    <row r="126" spans="1:24" x14ac:dyDescent="0.25">
      <c r="A126" s="100"/>
      <c r="B126" s="3">
        <f>IF(B125-D125+G125-(B125*($B$13+$H$13))+(C125*($C$13))&lt;0,0,B125-D125+G125-(B125*($B$13+$H$13))+(C125*($C$13)))</f>
        <v>22.736516840858823</v>
      </c>
      <c r="C126" s="3">
        <f>IF(C125-E125+H125-(C125*($C$13+$I$13))+(B125*($B$13))&lt;0,0,C125-E125+H125-(C125*($C$13+$I$13))+(B125*($B$13)))</f>
        <v>63.669372649010697</v>
      </c>
      <c r="D126" s="3">
        <f>$D$14*B126</f>
        <v>2.2736516840858823</v>
      </c>
      <c r="E126" s="3">
        <f>$E$14*C126</f>
        <v>9.5504058973516042</v>
      </c>
      <c r="F126" s="3">
        <f t="shared" si="39"/>
        <v>174.2859464971188</v>
      </c>
      <c r="G126" s="3">
        <f>$F$14*F125</f>
        <v>4.8738566674704398</v>
      </c>
      <c r="H126" s="3">
        <f>$G$14*F125</f>
        <v>8.1230944457840675</v>
      </c>
      <c r="I126" s="3">
        <f>$H$14*B126+$I$14*C126</f>
        <v>5.3205587055991437</v>
      </c>
      <c r="J126" s="3">
        <f t="shared" si="40"/>
        <v>14.949631777578148</v>
      </c>
      <c r="K126" s="30">
        <f t="shared" si="38"/>
        <v>0.17301635184637368</v>
      </c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</row>
    <row r="127" spans="1:24" x14ac:dyDescent="0.25">
      <c r="A127" s="100"/>
      <c r="B127" s="3">
        <f>IF(B126-D126+G126-(B126*($B$13+$H$13))+(C126*($C$13))&lt;0,0,B126-D126+G126-(B126*($B$13+$H$13))+(C126*($C$13)))</f>
        <v>21.699591679166573</v>
      </c>
      <c r="C127" s="3">
        <f>IF(C126-E126+H126-(C126*($C$14+$I$14))+(B126*($B$14))&lt;0,0,C126-E126+H126-(C126*($C$14+$I$14))+(B126*($B$14)))</f>
        <v>60.785997805329416</v>
      </c>
      <c r="D127" s="3">
        <f>$D$15*B127</f>
        <v>2.1699591679166574</v>
      </c>
      <c r="E127" s="3">
        <f>$E$15*C127</f>
        <v>9.117899670799412</v>
      </c>
      <c r="F127" s="3">
        <f t="shared" si="39"/>
        <v>185.57380533583486</v>
      </c>
      <c r="G127" s="3">
        <f>$F$15*F126</f>
        <v>5.2285783949135638</v>
      </c>
      <c r="H127" s="3">
        <f>$G$15*F126</f>
        <v>8.7142973248559397</v>
      </c>
      <c r="I127" s="3">
        <f>$H$15*B127+$I$15*C127</f>
        <v>5.6863786640881626</v>
      </c>
      <c r="J127" s="3">
        <f t="shared" si="40"/>
        <v>20.636010441666311</v>
      </c>
      <c r="K127" s="30">
        <f t="shared" si="38"/>
        <v>0.25017715907267729</v>
      </c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</row>
    <row r="128" spans="1:24" x14ac:dyDescent="0.25">
      <c r="A128" s="78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8" t="s">
        <v>119</v>
      </c>
      <c r="M128" s="7"/>
      <c r="N128" s="8" t="str">
        <f>"Coninuing Since  "&amp;$A$18</f>
        <v>Coninuing Since  New Fall 2022</v>
      </c>
      <c r="O128" s="7"/>
      <c r="P128" s="7"/>
      <c r="Q128" s="10" t="s">
        <v>120</v>
      </c>
      <c r="R128" s="12"/>
      <c r="S128" s="12"/>
      <c r="T128" s="12"/>
      <c r="U128" s="12"/>
      <c r="V128" s="12"/>
      <c r="W128" s="12"/>
      <c r="X128" s="12"/>
    </row>
    <row r="129" spans="1:24" x14ac:dyDescent="0.25">
      <c r="A129" s="10" t="str">
        <f>$A$17</f>
        <v>Semester</v>
      </c>
      <c r="B129" s="11" t="s">
        <v>84</v>
      </c>
      <c r="C129" s="11" t="s">
        <v>85</v>
      </c>
      <c r="D129" s="11" t="s">
        <v>95</v>
      </c>
      <c r="E129" s="11" t="s">
        <v>94</v>
      </c>
      <c r="F129" s="11" t="s">
        <v>86</v>
      </c>
      <c r="G129" s="11" t="s">
        <v>96</v>
      </c>
      <c r="H129" s="11" t="s">
        <v>97</v>
      </c>
      <c r="I129" s="11" t="s">
        <v>83</v>
      </c>
      <c r="J129" s="11" t="s">
        <v>87</v>
      </c>
      <c r="K129" s="11" t="s">
        <v>98</v>
      </c>
      <c r="L129" s="11" t="s">
        <v>102</v>
      </c>
      <c r="M129" s="11" t="s">
        <v>103</v>
      </c>
      <c r="N129" s="11" t="s">
        <v>102</v>
      </c>
      <c r="O129" s="11" t="s">
        <v>103</v>
      </c>
      <c r="P129" s="11" t="s">
        <v>102</v>
      </c>
      <c r="Q129" s="11" t="s">
        <v>103</v>
      </c>
      <c r="R129" s="12"/>
      <c r="S129" s="12"/>
      <c r="T129" s="12"/>
      <c r="U129" s="12"/>
      <c r="V129" s="12"/>
      <c r="W129" s="12"/>
      <c r="X129" s="12"/>
    </row>
    <row r="130" spans="1:24" x14ac:dyDescent="0.25">
      <c r="A130" s="10" t="str">
        <f>"New "&amp;$A$26</f>
        <v>New Fall 2026</v>
      </c>
      <c r="B130" s="92">
        <f>Enrollment!G3</f>
        <v>384.238404</v>
      </c>
      <c r="C130" s="92">
        <f>Enrollment!G7</f>
        <v>96.059601000000001</v>
      </c>
      <c r="D130" s="3">
        <f>$D$4*B130</f>
        <v>38.423840400000003</v>
      </c>
      <c r="E130" s="3">
        <f>$E$4*C130</f>
        <v>14.408940149999999</v>
      </c>
      <c r="F130" s="3">
        <f>D130+E130</f>
        <v>52.832780550000003</v>
      </c>
      <c r="G130" s="3">
        <v>0</v>
      </c>
      <c r="H130" s="3">
        <v>0</v>
      </c>
      <c r="I130" s="3">
        <f>$H$4*B130+$I$4*C130</f>
        <v>0</v>
      </c>
      <c r="J130" s="3">
        <f>I130</f>
        <v>0</v>
      </c>
      <c r="K130" s="30">
        <f>J130/(B130+C130)</f>
        <v>0</v>
      </c>
      <c r="L130" s="3">
        <f>L184</f>
        <v>189.05672211032712</v>
      </c>
      <c r="M130" s="3">
        <f>M184</f>
        <v>512.23840766605144</v>
      </c>
      <c r="N130" s="5">
        <f>B117+B104+B92+B79+B66+B53+B40+B27</f>
        <v>711.09805634047029</v>
      </c>
      <c r="O130" s="5">
        <f>C117+C104+C92+C79+C66+C53+C40+C27</f>
        <v>953.10615365022488</v>
      </c>
      <c r="P130" s="5">
        <f>L130+N130</f>
        <v>900.15477845079738</v>
      </c>
      <c r="Q130" s="5">
        <f>M130+O130</f>
        <v>1465.3445613162762</v>
      </c>
      <c r="R130" s="12"/>
      <c r="S130" s="12"/>
      <c r="T130" s="12"/>
      <c r="U130" s="12"/>
      <c r="V130" s="12"/>
      <c r="W130" s="12"/>
      <c r="X130" s="12"/>
    </row>
    <row r="131" spans="1:24" x14ac:dyDescent="0.25">
      <c r="A131" s="10" t="str">
        <f>$A$27</f>
        <v>Spring 2026</v>
      </c>
      <c r="B131" s="3">
        <f>IF(B130-D130+G130-(B130*($B$4+$H$4))+(C130*($C$4))&lt;0,0,B130-D130+G130-(B130*($B$4+$H$4))+(C130*($C$4)))</f>
        <v>278.57284290000001</v>
      </c>
      <c r="C131" s="3">
        <f>IF(C130-E130+H130-(C130*($C$4+$I$4))+(B130*($B$4))&lt;0,0,C130-E130+H130-(C130*($C$4+$I$4))+(B130*($B$4)))</f>
        <v>148.89238155000001</v>
      </c>
      <c r="D131" s="3">
        <f>$D$5*B131</f>
        <v>27.857284290000003</v>
      </c>
      <c r="E131" s="3">
        <f>$E$5*C131</f>
        <v>22.333857232500002</v>
      </c>
      <c r="F131" s="3">
        <f>F130+D131+E131</f>
        <v>103.0239220725</v>
      </c>
      <c r="G131" s="3">
        <f>$F$5*F130</f>
        <v>0.52832780550000003</v>
      </c>
      <c r="H131" s="3">
        <f>$G$5*F130</f>
        <v>1.0566556110000001</v>
      </c>
      <c r="I131" s="3">
        <f>$H$5*B131+$I$5*C131</f>
        <v>0</v>
      </c>
      <c r="J131" s="3">
        <f>J130+I131</f>
        <v>0</v>
      </c>
      <c r="K131" s="30">
        <f t="shared" ref="K131:K141" si="41">J131/(B131+C131)</f>
        <v>0</v>
      </c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</row>
    <row r="132" spans="1:24" x14ac:dyDescent="0.25">
      <c r="A132" s="10" t="str">
        <f>"New "&amp;$A$28</f>
        <v>New Fall 2027</v>
      </c>
      <c r="B132" s="3">
        <f>IF(B131-D131+G131-(B131*($B$5+$H$5))+(C131*($C$5))&lt;0,0,B131-D131+G131-(B131*($B$5+$H$5))+(C131*($C$5)))</f>
        <v>207.63282756149999</v>
      </c>
      <c r="C132" s="3">
        <f>IF(C131-E131+H131-(C131*($C$5+$I$5))+(B131*($B$5))&lt;0,0,C131-E131+H131-(C131*($C$5+$I$5))+(B131*($B$5)))</f>
        <v>171.22623878249999</v>
      </c>
      <c r="D132" s="3">
        <f>$D$6*B132</f>
        <v>20.763282756150002</v>
      </c>
      <c r="E132" s="3">
        <f>$E$6*C132</f>
        <v>25.683935817374998</v>
      </c>
      <c r="F132" s="3">
        <f t="shared" ref="F132:F141" si="42">F131+D132+E132</f>
        <v>149.47114064602499</v>
      </c>
      <c r="G132" s="3">
        <f>$F$6*F131</f>
        <v>2.0604784414499999</v>
      </c>
      <c r="H132" s="3">
        <f>$G$6*F131</f>
        <v>3.0907176621749999</v>
      </c>
      <c r="I132" s="3">
        <f>$H$6*B132+$I$6*C132</f>
        <v>0</v>
      </c>
      <c r="J132" s="3">
        <f t="shared" ref="J132:J141" si="43">J131+I132</f>
        <v>0</v>
      </c>
      <c r="K132" s="30">
        <f t="shared" si="41"/>
        <v>0</v>
      </c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</row>
    <row r="133" spans="1:24" x14ac:dyDescent="0.25">
      <c r="A133" s="10" t="str">
        <f>$A$29</f>
        <v>Spring 2027</v>
      </c>
      <c r="B133" s="3">
        <f>IF(B132-D132+G132-(B132*($B$6+$H$6))+(C132*($C$6))&lt;0,0,B132-D132+G132-(B132*($B$6+$H$6))+(C132*($C$6)))</f>
        <v>160.37342506151998</v>
      </c>
      <c r="C133" s="3">
        <f>IF(C132-E132+H132-(C132*($C$6+$I$6))+(B132*($B$6))&lt;0,0,C132-E132+H132-(C132*($C$6+$I$6))+(B132*($B$6)))</f>
        <v>177.18961881257999</v>
      </c>
      <c r="D133" s="3">
        <f>$D$7*B133</f>
        <v>16.037342506151997</v>
      </c>
      <c r="E133" s="3">
        <f>$E$7*C133</f>
        <v>26.578442821886998</v>
      </c>
      <c r="F133" s="3">
        <f t="shared" si="42"/>
        <v>192.08692597406397</v>
      </c>
      <c r="G133" s="3">
        <f>$F$7*F132</f>
        <v>4.4841342193807492</v>
      </c>
      <c r="H133" s="3">
        <f>$G$7*F132</f>
        <v>5.9788456258410001</v>
      </c>
      <c r="I133" s="3">
        <f>$H$7*B133+$I$7*C133</f>
        <v>0</v>
      </c>
      <c r="J133" s="3">
        <f t="shared" si="43"/>
        <v>0</v>
      </c>
      <c r="K133" s="30">
        <f t="shared" si="41"/>
        <v>0</v>
      </c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</row>
    <row r="134" spans="1:24" x14ac:dyDescent="0.25">
      <c r="A134" s="100"/>
      <c r="B134" s="3">
        <f>IF(B133-D133+G133-(B133*($B$7+$H$7))+(C133*($C$7))&lt;0,0,B133-D133+G133-(B133*($B$7+$H$7))+(C133*($C$7)))</f>
        <v>129.65329089185715</v>
      </c>
      <c r="C134" s="3">
        <f>IF(C133-E133+H133-(C133*($C$7+$I$7))+(B133*($B$7))&lt;0,0,C133-E133+H133-(C133*($C$7+$I$7))+(B133*($B$7)))</f>
        <v>175.75694749942559</v>
      </c>
      <c r="D134" s="3">
        <f>$D$8*B134</f>
        <v>12.965329089185715</v>
      </c>
      <c r="E134" s="3">
        <f>$E$8*C134</f>
        <v>26.363542124913838</v>
      </c>
      <c r="F134" s="3">
        <f t="shared" si="42"/>
        <v>231.41579718816351</v>
      </c>
      <c r="G134" s="3">
        <f>$F$8*F133</f>
        <v>5.762607779221919</v>
      </c>
      <c r="H134" s="3">
        <f>$G$8*F133</f>
        <v>9.6043462987031987</v>
      </c>
      <c r="I134" s="3">
        <f>$H$8*B134+$I$8*C134</f>
        <v>0</v>
      </c>
      <c r="J134" s="3">
        <f t="shared" si="43"/>
        <v>0</v>
      </c>
      <c r="K134" s="30">
        <f t="shared" si="41"/>
        <v>0</v>
      </c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</row>
    <row r="135" spans="1:24" x14ac:dyDescent="0.25">
      <c r="A135" s="100"/>
      <c r="B135" s="3">
        <f>IF(B134-D134+G134-(B134*($B$8+$H$8))+(C134*($C$8))&lt;0,0,B134-D134+G134-(B134*($B$8+$H$8))+(C134*($C$8)))</f>
        <v>108.9094745177902</v>
      </c>
      <c r="C135" s="3">
        <f>IF(C134-E134+H134-(C134*($C$8+$I$8))+(B134*($B$8))&lt;0,0,C134-E134+H134-(C134*($C$8+$I$8))+(B134*($B$8)))</f>
        <v>172.53884673731812</v>
      </c>
      <c r="D135" s="3">
        <f>$D$9*B135</f>
        <v>10.89094745177902</v>
      </c>
      <c r="E135" s="3">
        <f>$E$9*C135</f>
        <v>25.880827010597717</v>
      </c>
      <c r="F135" s="3">
        <f t="shared" si="42"/>
        <v>268.18757165054024</v>
      </c>
      <c r="G135" s="3">
        <f>$F$9*F134</f>
        <v>6.9424739156449053</v>
      </c>
      <c r="H135" s="3">
        <f>$G$9*F134</f>
        <v>11.570789859408176</v>
      </c>
      <c r="I135" s="3">
        <f>$H$9*B135+$I$9*C135</f>
        <v>0</v>
      </c>
      <c r="J135" s="3">
        <f t="shared" si="43"/>
        <v>0</v>
      </c>
      <c r="K135" s="30">
        <f t="shared" si="41"/>
        <v>0</v>
      </c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</row>
    <row r="136" spans="1:24" x14ac:dyDescent="0.25">
      <c r="A136" s="100"/>
      <c r="B136" s="3">
        <f>IF(B135-D135+G135-(B135*($B$9+$H$9))+(C135*($C$9))&lt;0,0,B135-D135+G135-(B135*($B$9+$H$9))+(C135*($C$9)))</f>
        <v>94.987517025940363</v>
      </c>
      <c r="C136" s="3">
        <f>IF(C135-E135+H135-(C135*($C$9+$I$9))+(B135*($B$9))&lt;0,0,C135-E135+H135-(C135*($C$9+$I$9))+(B135*($B$9)))</f>
        <v>168.20229354184428</v>
      </c>
      <c r="D136" s="3">
        <f>$D$10*B136</f>
        <v>9.4987517025940367</v>
      </c>
      <c r="E136" s="3">
        <f>$E$10*C136</f>
        <v>25.23034403127664</v>
      </c>
      <c r="F136" s="3">
        <f t="shared" si="42"/>
        <v>302.91666738441091</v>
      </c>
      <c r="G136" s="3">
        <f>$F$10*F135</f>
        <v>8.0456271495162071</v>
      </c>
      <c r="H136" s="3">
        <f>$G$10*F135</f>
        <v>13.409378582527012</v>
      </c>
      <c r="I136" s="3">
        <f>$H$10*B136+$I$10*C136</f>
        <v>0.9498751702594036</v>
      </c>
      <c r="J136" s="3">
        <f t="shared" si="43"/>
        <v>0.9498751702594036</v>
      </c>
      <c r="K136" s="30">
        <f t="shared" si="41"/>
        <v>3.6090879362321014E-3</v>
      </c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</row>
    <row r="137" spans="1:24" x14ac:dyDescent="0.25">
      <c r="A137" s="100"/>
      <c r="B137" s="3">
        <f>IF(B136-D136+G136-(B136*($B$10+$H$10))+(C136*($C$10))&lt;0,0,B136-D136+G136-(B136*($B$10+$H$10))+(C136*($C$10)))</f>
        <v>84.707992230043075</v>
      </c>
      <c r="C137" s="3">
        <f>IF(C136-E136+H136-(C136*($C$10+$I$10))+(B136*($B$10))&lt;0,0,C136-E136+H136-(C136*($C$10+$I$10))+(B136*($B$10)))</f>
        <v>164.25785316565472</v>
      </c>
      <c r="D137" s="3">
        <f>$D$11*B137</f>
        <v>8.4707992230043079</v>
      </c>
      <c r="E137" s="3">
        <f>$E$11*C137</f>
        <v>24.638677974848207</v>
      </c>
      <c r="F137" s="3">
        <f t="shared" si="42"/>
        <v>336.02614458226344</v>
      </c>
      <c r="G137" s="3">
        <f>$F$11*F136</f>
        <v>9.0875000215323265</v>
      </c>
      <c r="H137" s="3">
        <f>$G$11*F136</f>
        <v>15.145833369220547</v>
      </c>
      <c r="I137" s="3">
        <f>$H$11*B137+$I$11*C137</f>
        <v>1.6941598446008614</v>
      </c>
      <c r="J137" s="3">
        <f t="shared" si="43"/>
        <v>2.6440350148602652</v>
      </c>
      <c r="K137" s="30">
        <f t="shared" si="41"/>
        <v>1.0620071241731678E-2</v>
      </c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</row>
    <row r="138" spans="1:24" x14ac:dyDescent="0.25">
      <c r="A138" s="100"/>
      <c r="B138" s="3">
        <f>IF(B137-D137+G137-(B137*($B$11+$H$11))+(C137*($C$11))&lt;0,0,B137-D137+G137-(B137*($B$11+$H$11))+(C137*($C$11)))</f>
        <v>77.185160598424062</v>
      </c>
      <c r="C138" s="3">
        <f>IF(C137-E137+H137-(C137*($C$11+$I$11))+(B137*($B$11))&lt;0,0,C137-E137+H137-(C137*($C$11+$I$11))+(B137*($B$11)))</f>
        <v>161.21038114557322</v>
      </c>
      <c r="D138" s="3">
        <f>$D$12*B138</f>
        <v>7.7185160598424067</v>
      </c>
      <c r="E138" s="3">
        <f>$E$12*C138</f>
        <v>24.181557171835983</v>
      </c>
      <c r="F138" s="3">
        <f t="shared" si="42"/>
        <v>367.92621781394183</v>
      </c>
      <c r="G138" s="3">
        <f>$F$12*F137</f>
        <v>10.080784337467902</v>
      </c>
      <c r="H138" s="3">
        <f>$G$12*F137</f>
        <v>16.801307229113174</v>
      </c>
      <c r="I138" s="3">
        <f>$H$12*B138+$I$12*C138</f>
        <v>11.57777408976361</v>
      </c>
      <c r="J138" s="3">
        <f t="shared" si="43"/>
        <v>14.221809104623874</v>
      </c>
      <c r="K138" s="30">
        <f t="shared" si="41"/>
        <v>5.9656355150701869E-2</v>
      </c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</row>
    <row r="139" spans="1:24" x14ac:dyDescent="0.25">
      <c r="A139" s="100"/>
      <c r="B139" s="3">
        <f>IF(B138-D138+G138-(B138*($B$12+$H$12))+(C138*($C$12))&lt;0,0,B138-D138+G138-(B138*($B$12+$H$12))+(C138*($C$12)))</f>
        <v>62.478847933284534</v>
      </c>
      <c r="C139" s="3">
        <f>IF(C138-E138+H138-(C138*($C$12+$I$12))+(B138*($B$12))&lt;0,0,C138-E138+H138-(C138*($C$12+$I$12))+(B138*($B$12)))</f>
        <v>159.32093805585185</v>
      </c>
      <c r="D139" s="3">
        <f>$D$13*B139</f>
        <v>6.2478847933284536</v>
      </c>
      <c r="E139" s="3">
        <f>$E$13*C139</f>
        <v>23.898140708377777</v>
      </c>
      <c r="F139" s="3">
        <f t="shared" si="42"/>
        <v>398.07224331564805</v>
      </c>
      <c r="G139" s="3">
        <f>$F$13*F138</f>
        <v>11.037786534418254</v>
      </c>
      <c r="H139" s="3">
        <f>$G$13*F138</f>
        <v>18.396310890697091</v>
      </c>
      <c r="I139" s="3">
        <f>$H$13*B139+$I$13*C139</f>
        <v>9.3718271899926791</v>
      </c>
      <c r="J139" s="3">
        <f t="shared" si="43"/>
        <v>23.593636294616552</v>
      </c>
      <c r="K139" s="30">
        <f t="shared" si="41"/>
        <v>0.10637357556229632</v>
      </c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</row>
    <row r="140" spans="1:24" x14ac:dyDescent="0.25">
      <c r="A140" s="100"/>
      <c r="B140" s="3">
        <f>IF(B139-D139+G139-(B139*($B$13+$H$13))+(C139*($C$13))&lt;0,0,B139-D139+G139-(B139*($B$13+$H$13))+(C139*($C$13)))</f>
        <v>55.710150389314322</v>
      </c>
      <c r="C140" s="3">
        <f>IF(C139-E139+H139-(C139*($C$13+$I$13))+(B139*($B$13))&lt;0,0,C139-E139+H139-(C139*($C$13+$I$13))+(B139*($B$13)))</f>
        <v>156.00588033323848</v>
      </c>
      <c r="D140" s="3">
        <f>$D$14*B140</f>
        <v>5.5710150389314324</v>
      </c>
      <c r="E140" s="3">
        <f>$E$14*C140</f>
        <v>23.400882049985771</v>
      </c>
      <c r="F140" s="3">
        <f t="shared" si="42"/>
        <v>427.04414040456527</v>
      </c>
      <c r="G140" s="3">
        <f>$F$14*F139</f>
        <v>11.942167299469441</v>
      </c>
      <c r="H140" s="3">
        <f>$G$14*F139</f>
        <v>19.903612165782405</v>
      </c>
      <c r="I140" s="3">
        <f>$H$14*B140+$I$14*C140</f>
        <v>13.036698968394301</v>
      </c>
      <c r="J140" s="3">
        <f t="shared" si="43"/>
        <v>36.630335263010849</v>
      </c>
      <c r="K140" s="30">
        <f t="shared" si="41"/>
        <v>0.17301635184637365</v>
      </c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</row>
    <row r="141" spans="1:24" x14ac:dyDescent="0.25">
      <c r="A141" s="100"/>
      <c r="B141" s="3">
        <f>IF(B140-D140+G140-(B140*($B$13+$H$13))+(C140*($C$13))&lt;0,0,B140-D140+G140-(B140*($B$13+$H$13))+(C140*($C$13)))</f>
        <v>53.169424511877878</v>
      </c>
      <c r="C141" s="3">
        <f>IF(C140-E140+H140-(C140*($C$14+$I$14))+(B140*($B$14))&lt;0,0,C140-E140+H140-(C140*($C$14+$I$14))+(B140*($B$14)))</f>
        <v>148.94089112250842</v>
      </c>
      <c r="D141" s="3">
        <f>$D$15*B141</f>
        <v>5.3169424511877885</v>
      </c>
      <c r="E141" s="3">
        <f>$E$15*C141</f>
        <v>22.341133668376262</v>
      </c>
      <c r="F141" s="3">
        <f t="shared" si="42"/>
        <v>454.70221652412931</v>
      </c>
      <c r="G141" s="3">
        <f>$F$15*F140</f>
        <v>12.811324212136958</v>
      </c>
      <c r="H141" s="3">
        <f>$G$15*F140</f>
        <v>21.352207020228263</v>
      </c>
      <c r="I141" s="3">
        <f>$H$15*B141+$I$15*C141</f>
        <v>13.933049321682017</v>
      </c>
      <c r="J141" s="3">
        <f t="shared" si="43"/>
        <v>50.563384584692869</v>
      </c>
      <c r="K141" s="30">
        <f t="shared" si="41"/>
        <v>0.25017715907267724</v>
      </c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</row>
    <row r="142" spans="1:24" x14ac:dyDescent="0.25">
      <c r="A142" s="78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8" t="s">
        <v>119</v>
      </c>
      <c r="M142" s="7"/>
      <c r="N142" s="8" t="str">
        <f>"Coninuing Since  "&amp;$A$18</f>
        <v>Coninuing Since  New Fall 2022</v>
      </c>
      <c r="O142" s="7"/>
      <c r="P142" s="7"/>
      <c r="Q142" s="10" t="s">
        <v>120</v>
      </c>
      <c r="R142" s="12"/>
      <c r="S142" s="12"/>
      <c r="T142" s="12"/>
      <c r="U142" s="12"/>
      <c r="V142" s="12"/>
      <c r="W142" s="12"/>
      <c r="X142" s="12"/>
    </row>
    <row r="143" spans="1:24" x14ac:dyDescent="0.25">
      <c r="A143" s="10" t="str">
        <f>$A$17</f>
        <v>Semester</v>
      </c>
      <c r="B143" s="11" t="s">
        <v>84</v>
      </c>
      <c r="C143" s="11" t="s">
        <v>85</v>
      </c>
      <c r="D143" s="11" t="s">
        <v>95</v>
      </c>
      <c r="E143" s="11" t="s">
        <v>94</v>
      </c>
      <c r="F143" s="11" t="s">
        <v>86</v>
      </c>
      <c r="G143" s="11" t="s">
        <v>96</v>
      </c>
      <c r="H143" s="11" t="s">
        <v>97</v>
      </c>
      <c r="I143" s="11" t="s">
        <v>83</v>
      </c>
      <c r="J143" s="11" t="s">
        <v>87</v>
      </c>
      <c r="K143" s="11" t="s">
        <v>98</v>
      </c>
      <c r="L143" s="11" t="s">
        <v>102</v>
      </c>
      <c r="M143" s="11" t="s">
        <v>103</v>
      </c>
      <c r="N143" s="11" t="s">
        <v>102</v>
      </c>
      <c r="O143" s="11" t="s">
        <v>103</v>
      </c>
      <c r="P143" s="11" t="s">
        <v>102</v>
      </c>
      <c r="Q143" s="11" t="s">
        <v>103</v>
      </c>
      <c r="R143" s="12"/>
      <c r="S143" s="12"/>
      <c r="T143" s="12"/>
      <c r="U143" s="12"/>
      <c r="V143" s="12"/>
      <c r="W143" s="12"/>
      <c r="X143" s="12"/>
    </row>
    <row r="144" spans="1:24" x14ac:dyDescent="0.25">
      <c r="A144" s="10" t="str">
        <f>"New "&amp;$A$27</f>
        <v>New Spring 2026</v>
      </c>
      <c r="B144" s="92">
        <f>Enrollment!G4</f>
        <v>153.69536160000001</v>
      </c>
      <c r="C144" s="92">
        <f>Enrollment!G8</f>
        <v>38.423840400000003</v>
      </c>
      <c r="D144" s="3">
        <f>$D$4*B144</f>
        <v>15.369536160000003</v>
      </c>
      <c r="E144" s="3">
        <f>$E$4*C144</f>
        <v>5.7635760600000001</v>
      </c>
      <c r="F144" s="3">
        <f>D144+E144</f>
        <v>21.133112220000001</v>
      </c>
      <c r="G144" s="3">
        <v>0</v>
      </c>
      <c r="H144" s="3">
        <v>0</v>
      </c>
      <c r="I144" s="3">
        <f>$H$4*B144+$I$4*C144</f>
        <v>0</v>
      </c>
      <c r="J144" s="3">
        <f>I144</f>
        <v>0</v>
      </c>
      <c r="K144" s="30">
        <f>J144/(B144+C144)</f>
        <v>0</v>
      </c>
      <c r="L144" s="3">
        <f>L185</f>
        <v>120.13816687087673</v>
      </c>
      <c r="M144" s="3">
        <f>M185</f>
        <v>336.46922798769128</v>
      </c>
      <c r="N144" s="5">
        <f>B131+B118+B105+B93+B80+B67+B54+B41+StuFlow!B28</f>
        <v>865.15038550942825</v>
      </c>
      <c r="O144" s="5">
        <f>C131+C118+C105+C93+C80+C67+C54+C41+StuFlow!C28</f>
        <v>1102.394452326949</v>
      </c>
      <c r="P144" s="5">
        <f>L144+N144</f>
        <v>985.28855238030496</v>
      </c>
      <c r="Q144" s="5">
        <f>M144+O144</f>
        <v>1438.8636803146403</v>
      </c>
      <c r="R144" s="12"/>
      <c r="S144" s="12"/>
      <c r="T144" s="12"/>
      <c r="U144" s="12"/>
      <c r="V144" s="12"/>
      <c r="W144" s="12"/>
      <c r="X144" s="12"/>
    </row>
    <row r="145" spans="1:24" x14ac:dyDescent="0.25">
      <c r="A145" s="10" t="str">
        <f>$A$28</f>
        <v>Fall 2027</v>
      </c>
      <c r="B145" s="3">
        <f>IF(B144-D144+G144-(B144*($B$4+$H$4))+(C144*($C$4))&lt;0,0,B144-D144+G144-(B144*($B$4+$H$4))+(C144*($C$4)))</f>
        <v>111.42913716000001</v>
      </c>
      <c r="C145" s="3">
        <f>IF(C144-E144+H144-(C144*($C$4+$I$4))+(B144*($B$4))&lt;0,0,C144-E144+H144-(C144*($C$4+$I$4))+(B144*($B$4)))</f>
        <v>59.556952620000011</v>
      </c>
      <c r="D145" s="3">
        <f>$D$5*B145</f>
        <v>11.142913716000002</v>
      </c>
      <c r="E145" s="3">
        <f>$E$5*C145</f>
        <v>8.933542893000002</v>
      </c>
      <c r="F145" s="3">
        <f>F144+D145+E145</f>
        <v>41.209568829000006</v>
      </c>
      <c r="G145" s="3">
        <f>$F$5*F144</f>
        <v>0.21133112220000003</v>
      </c>
      <c r="H145" s="3">
        <f>$G$5*F144</f>
        <v>0.42266224440000005</v>
      </c>
      <c r="I145" s="3">
        <f>$H$5*B145+$I$5*C145</f>
        <v>0</v>
      </c>
      <c r="J145" s="3">
        <f>J144+I145</f>
        <v>0</v>
      </c>
      <c r="K145" s="30">
        <f t="shared" ref="K145:K155" si="44">J145/(B145+C145)</f>
        <v>0</v>
      </c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</row>
    <row r="146" spans="1:24" x14ac:dyDescent="0.25">
      <c r="A146" s="10" t="str">
        <f>$A$29</f>
        <v>Spring 2027</v>
      </c>
      <c r="B146" s="3">
        <f>IF(B145-D145+G145-(B145*($B$5+$H$5))+(C145*($C$5))&lt;0,0,B145-D145+G145-(B145*($B$5+$H$5))+(C145*($C$5)))</f>
        <v>83.053131024599992</v>
      </c>
      <c r="C146" s="3">
        <f>IF(C145-E145+H145-(C145*($C$5+$I$5))+(B145*($B$5))&lt;0,0,C145-E145+H145-(C145*($C$5+$I$5))+(B145*($B$5)))</f>
        <v>68.490495513000013</v>
      </c>
      <c r="D146" s="3">
        <f>$D$6*B146</f>
        <v>8.3053131024599995</v>
      </c>
      <c r="E146" s="3">
        <f>$E$6*C146</f>
        <v>10.273574326950001</v>
      </c>
      <c r="F146" s="3">
        <f t="shared" ref="F146:F155" si="45">F145+D146+E146</f>
        <v>59.788456258410008</v>
      </c>
      <c r="G146" s="3">
        <f>$F$6*F145</f>
        <v>0.82419137658000008</v>
      </c>
      <c r="H146" s="3">
        <f>$G$6*F145</f>
        <v>1.2362870648700002</v>
      </c>
      <c r="I146" s="3">
        <f>$H$6*B146+$I$6*C146</f>
        <v>0</v>
      </c>
      <c r="J146" s="3">
        <f t="shared" ref="J146:J155" si="46">J145+I146</f>
        <v>0</v>
      </c>
      <c r="K146" s="30">
        <f t="shared" si="44"/>
        <v>0</v>
      </c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</row>
    <row r="147" spans="1:24" x14ac:dyDescent="0.25">
      <c r="A147" s="100"/>
      <c r="B147" s="3">
        <f>IF(B146-D146+G146-(B146*($B$6+$H$6))+(C146*($C$6))&lt;0,0,B146-D146+G146-(B146*($B$6+$H$6))+(C146*($C$6)))</f>
        <v>64.14937002460799</v>
      </c>
      <c r="C147" s="3">
        <f>IF(C146-E146+H146-(C146*($C$6+$I$6))+(B146*($B$6))&lt;0,0,C146-E146+H146-(C146*($C$6+$I$6))+(B146*($B$6)))</f>
        <v>70.875847525032015</v>
      </c>
      <c r="D147" s="3">
        <f>$D$7*B147</f>
        <v>6.4149370024607997</v>
      </c>
      <c r="E147" s="3">
        <f>$E$7*C147</f>
        <v>10.631377128754801</v>
      </c>
      <c r="F147" s="3">
        <f t="shared" si="45"/>
        <v>76.834770389625618</v>
      </c>
      <c r="G147" s="3">
        <f>$F$7*F146</f>
        <v>1.7936536877523002</v>
      </c>
      <c r="H147" s="3">
        <f>$G$7*F146</f>
        <v>2.3915382503364002</v>
      </c>
      <c r="I147" s="3">
        <f>$H$7*B147+$I$7*C147</f>
        <v>0</v>
      </c>
      <c r="J147" s="3">
        <f t="shared" si="46"/>
        <v>0</v>
      </c>
      <c r="K147" s="30">
        <f t="shared" si="44"/>
        <v>0</v>
      </c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</row>
    <row r="148" spans="1:24" x14ac:dyDescent="0.25">
      <c r="A148" s="100"/>
      <c r="B148" s="3">
        <f>IF(B147-D147+G147-(B147*($B$7+$H$7))+(C147*($C$7))&lt;0,0,B147-D147+G147-(B147*($B$7+$H$7))+(C147*($C$7)))</f>
        <v>51.861316356742847</v>
      </c>
      <c r="C148" s="3">
        <f>IF(C147-E147+H147-(C147*($C$7+$I$7))+(B147*($B$7))&lt;0,0,C147-E147+H147-(C147*($C$7+$I$7))+(B147*($B$7)))</f>
        <v>70.302778999770254</v>
      </c>
      <c r="D148" s="3">
        <f>$D$8*B148</f>
        <v>5.1861316356742853</v>
      </c>
      <c r="E148" s="3">
        <f>$E$8*C148</f>
        <v>10.545416849965537</v>
      </c>
      <c r="F148" s="3">
        <f t="shared" si="45"/>
        <v>92.566318875265438</v>
      </c>
      <c r="G148" s="3">
        <f>$F$8*F147</f>
        <v>2.3050431116887684</v>
      </c>
      <c r="H148" s="3">
        <f>$G$8*F147</f>
        <v>3.841738519481281</v>
      </c>
      <c r="I148" s="3">
        <f>$H$8*B148+$I$8*C148</f>
        <v>0</v>
      </c>
      <c r="J148" s="3">
        <f t="shared" si="46"/>
        <v>0</v>
      </c>
      <c r="K148" s="30">
        <f t="shared" si="44"/>
        <v>0</v>
      </c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</row>
    <row r="149" spans="1:24" x14ac:dyDescent="0.25">
      <c r="A149" s="100"/>
      <c r="B149" s="3">
        <f>IF(B148-D148+G148-(B148*($B$8+$H$8))+(C148*($C$8))&lt;0,0,B148-D148+G148-(B148*($B$8+$H$8))+(C148*($C$8)))</f>
        <v>43.563789807116066</v>
      </c>
      <c r="C149" s="3">
        <f>IF(C148-E148+H148-(C148*($C$8+$I$8))+(B148*($B$8))&lt;0,0,C148-E148+H148-(C148*($C$8+$I$8))+(B148*($B$8)))</f>
        <v>69.015538694927258</v>
      </c>
      <c r="D149" s="3">
        <f>$D$9*B149</f>
        <v>4.3563789807116065</v>
      </c>
      <c r="E149" s="3">
        <f>$E$9*C149</f>
        <v>10.352330804239088</v>
      </c>
      <c r="F149" s="3">
        <f t="shared" si="45"/>
        <v>107.27502866021614</v>
      </c>
      <c r="G149" s="3">
        <f>$F$9*F148</f>
        <v>2.7769895662579631</v>
      </c>
      <c r="H149" s="3">
        <f>$G$9*F148</f>
        <v>4.6283159437632717</v>
      </c>
      <c r="I149" s="3">
        <f>$H$9*B149+$I$9*C149</f>
        <v>0</v>
      </c>
      <c r="J149" s="3">
        <f t="shared" si="46"/>
        <v>0</v>
      </c>
      <c r="K149" s="30">
        <f t="shared" si="44"/>
        <v>0</v>
      </c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</row>
    <row r="150" spans="1:24" x14ac:dyDescent="0.25">
      <c r="A150" s="100"/>
      <c r="B150" s="3">
        <f>IF(B149-D149+G149-(B149*($B$9+$H$9))+(C149*($C$9))&lt;0,0,B149-D149+G149-(B149*($B$9+$H$9))+(C149*($C$9)))</f>
        <v>37.995006810376132</v>
      </c>
      <c r="C150" s="3">
        <f>IF(C149-E149+H149-(C149*($C$9+$I$9))+(B149*($B$9))&lt;0,0,C149-E149+H149-(C149*($C$9+$I$9))+(B149*($B$9)))</f>
        <v>67.280917416737722</v>
      </c>
      <c r="D150" s="3">
        <f>$D$10*B150</f>
        <v>3.7995006810376135</v>
      </c>
      <c r="E150" s="3">
        <f>$E$10*C150</f>
        <v>10.092137612510658</v>
      </c>
      <c r="F150" s="3">
        <f t="shared" si="45"/>
        <v>121.16666695376441</v>
      </c>
      <c r="G150" s="3">
        <f>$F$10*F149</f>
        <v>3.2182508598064841</v>
      </c>
      <c r="H150" s="3">
        <f>$G$10*F149</f>
        <v>5.3637514330108074</v>
      </c>
      <c r="I150" s="3">
        <f>$H$10*B150+$I$10*C150</f>
        <v>0.37995006810376131</v>
      </c>
      <c r="J150" s="3">
        <f t="shared" si="46"/>
        <v>0.37995006810376131</v>
      </c>
      <c r="K150" s="30">
        <f t="shared" si="44"/>
        <v>3.6090879362321005E-3</v>
      </c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</row>
    <row r="151" spans="1:24" x14ac:dyDescent="0.25">
      <c r="A151" s="100"/>
      <c r="B151" s="3">
        <f>IF(B150-D150+G150-(B150*($B$10+$H$10))+(C150*($C$10))&lt;0,0,B150-D150+G150-(B150*($B$10+$H$10))+(C150*($C$10)))</f>
        <v>33.883196892017217</v>
      </c>
      <c r="C151" s="3">
        <f>IF(C150-E150+H150-(C150*($C$10+$I$10))+(B150*($B$10))&lt;0,0,C150-E150+H150-(C150*($C$10+$I$10))+(B150*($B$10)))</f>
        <v>65.703141266261895</v>
      </c>
      <c r="D151" s="3">
        <f>$D$11*B151</f>
        <v>3.388319689201722</v>
      </c>
      <c r="E151" s="3">
        <f>$E$11*C151</f>
        <v>9.8554711899392835</v>
      </c>
      <c r="F151" s="3">
        <f t="shared" si="45"/>
        <v>134.41045783290542</v>
      </c>
      <c r="G151" s="3">
        <f>$F$11*F150</f>
        <v>3.6350000086129319</v>
      </c>
      <c r="H151" s="3">
        <f>$G$11*F150</f>
        <v>6.0583333476882206</v>
      </c>
      <c r="I151" s="3">
        <f>$H$11*B151+$I$11*C151</f>
        <v>0.6776639378403444</v>
      </c>
      <c r="J151" s="3">
        <f t="shared" si="46"/>
        <v>1.0576140059441057</v>
      </c>
      <c r="K151" s="30">
        <f t="shared" si="44"/>
        <v>1.0620071241731675E-2</v>
      </c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</row>
    <row r="152" spans="1:24" x14ac:dyDescent="0.25">
      <c r="A152" s="100"/>
      <c r="B152" s="3">
        <f>IF(B151-D151+G151-(B151*($B$11+$H$11))+(C151*($C$11))&lt;0,0,B151-D151+G151-(B151*($B$11+$H$11))+(C151*($C$11)))</f>
        <v>30.874064239369627</v>
      </c>
      <c r="C152" s="3">
        <f>IF(C151-E151+H151-(C151*($C$11+$I$11))+(B151*($B$11))&lt;0,0,C151-E151+H151-(C151*($C$11+$I$11))+(B151*($B$11)))</f>
        <v>64.484152458229289</v>
      </c>
      <c r="D152" s="3">
        <f>$D$12*B152</f>
        <v>3.087406423936963</v>
      </c>
      <c r="E152" s="3">
        <f>$E$12*C152</f>
        <v>9.6726228687343934</v>
      </c>
      <c r="F152" s="3">
        <f t="shared" si="45"/>
        <v>147.17048712557676</v>
      </c>
      <c r="G152" s="3">
        <f>$F$12*F151</f>
        <v>4.0323137349871629</v>
      </c>
      <c r="H152" s="3">
        <f>$G$12*F151</f>
        <v>6.7205228916452713</v>
      </c>
      <c r="I152" s="3">
        <f>$H$12*B152+$I$12*C152</f>
        <v>4.6311096359054442</v>
      </c>
      <c r="J152" s="3">
        <f t="shared" si="46"/>
        <v>5.6887236418495499</v>
      </c>
      <c r="K152" s="30">
        <f t="shared" si="44"/>
        <v>5.9656355150701862E-2</v>
      </c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</row>
    <row r="153" spans="1:24" x14ac:dyDescent="0.25">
      <c r="A153" s="100"/>
      <c r="B153" s="3">
        <f>IF(B152-D152+G152-(B152*($B$12+$H$12))+(C152*($C$12))&lt;0,0,B152-D152+G152-(B152*($B$12+$H$12))+(C152*($C$12)))</f>
        <v>24.991539173313818</v>
      </c>
      <c r="C153" s="3">
        <f>IF(C152-E152+H152-(C152*($C$12+$I$12))+(B152*($B$12))&lt;0,0,C152-E152+H152-(C152*($C$12+$I$12))+(B152*($B$12)))</f>
        <v>63.728375222340738</v>
      </c>
      <c r="D153" s="3">
        <f>$D$13*B153</f>
        <v>2.4991539173313821</v>
      </c>
      <c r="E153" s="3">
        <f>$E$13*C153</f>
        <v>9.559256283351111</v>
      </c>
      <c r="F153" s="3">
        <f t="shared" si="45"/>
        <v>159.22889732625924</v>
      </c>
      <c r="G153" s="3">
        <f>$F$13*F152</f>
        <v>4.4151146137673027</v>
      </c>
      <c r="H153" s="3">
        <f>$G$13*F152</f>
        <v>7.3585243562788385</v>
      </c>
      <c r="I153" s="3">
        <f>$H$13*B153+$I$13*C153</f>
        <v>3.7487308759970723</v>
      </c>
      <c r="J153" s="3">
        <f t="shared" si="46"/>
        <v>9.4374545178466214</v>
      </c>
      <c r="K153" s="30">
        <f t="shared" si="44"/>
        <v>0.10637357556229632</v>
      </c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</row>
    <row r="154" spans="1:24" x14ac:dyDescent="0.25">
      <c r="A154" s="100"/>
      <c r="B154" s="3">
        <f>IF(B153-D153+G153-(B153*($B$13+$H$13))+(C153*($C$13))&lt;0,0,B153-D153+G153-(B153*($B$13+$H$13))+(C153*($C$13)))</f>
        <v>22.284060155725729</v>
      </c>
      <c r="C154" s="3">
        <f>IF(C153-E153+H153-(C153*($C$13+$I$13))+(B153*($B$13))&lt;0,0,C153-E153+H153-(C153*($C$13+$I$13))+(B153*($B$13)))</f>
        <v>62.402352133295395</v>
      </c>
      <c r="D154" s="3">
        <f>$D$14*B154</f>
        <v>2.2284060155725731</v>
      </c>
      <c r="E154" s="3">
        <f>$E$14*C154</f>
        <v>9.3603528199943096</v>
      </c>
      <c r="F154" s="3">
        <f t="shared" si="45"/>
        <v>170.81765616182614</v>
      </c>
      <c r="G154" s="3">
        <f>$F$14*F153</f>
        <v>4.7768669197877776</v>
      </c>
      <c r="H154" s="3">
        <f>$G$14*F153</f>
        <v>7.9614448663129629</v>
      </c>
      <c r="I154" s="3">
        <f>$H$14*B154+$I$14*C154</f>
        <v>5.214679587357721</v>
      </c>
      <c r="J154" s="3">
        <f t="shared" si="46"/>
        <v>14.652134105204343</v>
      </c>
      <c r="K154" s="30">
        <f t="shared" si="44"/>
        <v>0.17301635184637371</v>
      </c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</row>
    <row r="155" spans="1:24" x14ac:dyDescent="0.25">
      <c r="A155" s="100"/>
      <c r="B155" s="3">
        <f>IF(B154-D154+G154-(B154*($B$13+$H$13))+(C154*($C$13))&lt;0,0,B154-D154+G154-(B154*($B$13+$H$13))+(C154*($C$13)))</f>
        <v>21.267769804751154</v>
      </c>
      <c r="C155" s="3">
        <f>IF(C154-E154+H154-(C154*($C$14+$I$14))+(B154*($B$14))&lt;0,0,C154-E154+H154-(C154*($C$14+$I$14))+(B154*($B$14)))</f>
        <v>59.57635644900337</v>
      </c>
      <c r="D155" s="3">
        <f>$D$15*B155</f>
        <v>2.1267769804751153</v>
      </c>
      <c r="E155" s="3">
        <f>$E$15*C155</f>
        <v>8.9364534673505052</v>
      </c>
      <c r="F155" s="3">
        <f t="shared" si="45"/>
        <v>181.88088660965175</v>
      </c>
      <c r="G155" s="3">
        <f>$F$15*F154</f>
        <v>5.1245296848547843</v>
      </c>
      <c r="H155" s="3">
        <f>$G$15*F154</f>
        <v>8.5408828080913075</v>
      </c>
      <c r="I155" s="3">
        <f>$H$15*B155+$I$15*C155</f>
        <v>5.5732197286728082</v>
      </c>
      <c r="J155" s="3">
        <f t="shared" si="46"/>
        <v>20.225353833877151</v>
      </c>
      <c r="K155" s="30">
        <f t="shared" si="44"/>
        <v>0.25017715907267729</v>
      </c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</row>
    <row r="156" spans="1:24" x14ac:dyDescent="0.25">
      <c r="A156" s="78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8" t="s">
        <v>119</v>
      </c>
      <c r="M156" s="7"/>
      <c r="N156" s="8" t="str">
        <f>"Coninuing Since  "&amp;$A$18</f>
        <v>Coninuing Since  New Fall 2022</v>
      </c>
      <c r="O156" s="7"/>
      <c r="P156" s="7"/>
      <c r="Q156" s="10" t="s">
        <v>120</v>
      </c>
      <c r="R156" s="12"/>
      <c r="S156" s="12"/>
      <c r="T156" s="12"/>
      <c r="U156" s="12"/>
      <c r="V156" s="12"/>
      <c r="W156" s="12"/>
      <c r="X156" s="12"/>
    </row>
    <row r="157" spans="1:24" x14ac:dyDescent="0.25">
      <c r="A157" s="10" t="str">
        <f>$A$17</f>
        <v>Semester</v>
      </c>
      <c r="B157" s="11" t="s">
        <v>84</v>
      </c>
      <c r="C157" s="11" t="s">
        <v>85</v>
      </c>
      <c r="D157" s="11" t="s">
        <v>95</v>
      </c>
      <c r="E157" s="11" t="s">
        <v>94</v>
      </c>
      <c r="F157" s="11" t="s">
        <v>86</v>
      </c>
      <c r="G157" s="11" t="s">
        <v>96</v>
      </c>
      <c r="H157" s="11" t="s">
        <v>97</v>
      </c>
      <c r="I157" s="11" t="s">
        <v>83</v>
      </c>
      <c r="J157" s="11" t="s">
        <v>87</v>
      </c>
      <c r="K157" s="11" t="s">
        <v>98</v>
      </c>
      <c r="L157" s="11" t="s">
        <v>102</v>
      </c>
      <c r="M157" s="11" t="s">
        <v>103</v>
      </c>
      <c r="N157" s="11" t="s">
        <v>102</v>
      </c>
      <c r="O157" s="11" t="s">
        <v>103</v>
      </c>
      <c r="P157" s="11" t="s">
        <v>102</v>
      </c>
      <c r="Q157" s="11" t="s">
        <v>103</v>
      </c>
      <c r="R157" s="12"/>
      <c r="S157" s="12"/>
      <c r="T157" s="12"/>
      <c r="U157" s="12"/>
      <c r="V157" s="12"/>
      <c r="W157" s="12"/>
      <c r="X157" s="12"/>
    </row>
    <row r="158" spans="1:24" x14ac:dyDescent="0.25">
      <c r="A158" s="10" t="str">
        <f>"New "&amp;$A$28</f>
        <v>New Fall 2027</v>
      </c>
      <c r="B158" s="92">
        <f>Enrollment!H3</f>
        <v>380.39601995999999</v>
      </c>
      <c r="C158" s="92">
        <f>Enrollment!H7</f>
        <v>95.099004989999997</v>
      </c>
      <c r="D158" s="3">
        <f>$D$4*B158</f>
        <v>38.039601996000002</v>
      </c>
      <c r="E158" s="3">
        <f>$E$4*C158</f>
        <v>14.264850748499999</v>
      </c>
      <c r="F158" s="3">
        <f>D158+E158</f>
        <v>52.304452744499997</v>
      </c>
      <c r="G158" s="3">
        <v>0</v>
      </c>
      <c r="H158" s="3">
        <v>0</v>
      </c>
      <c r="I158" s="3">
        <f>$H$4*B158+$I$4*C158</f>
        <v>0</v>
      </c>
      <c r="J158" s="3">
        <f>I158</f>
        <v>0</v>
      </c>
      <c r="K158" s="30">
        <f>J158/(B158+C158)</f>
        <v>0</v>
      </c>
      <c r="L158" s="3">
        <f>L186</f>
        <v>58.671738345585453</v>
      </c>
      <c r="M158" s="5">
        <f>M186</f>
        <v>164.34433696396718</v>
      </c>
      <c r="N158" s="5">
        <f>B145+B132+B119+B106+B94+B81+B68+B55+B42+B29</f>
        <v>814.85023229336878</v>
      </c>
      <c r="O158" s="5">
        <f>C145+C132+C119+C106+C94+C81+C68+C55</f>
        <v>947.52611980355823</v>
      </c>
      <c r="P158" s="5">
        <f>L158+N158</f>
        <v>873.52197063895426</v>
      </c>
      <c r="Q158" s="5">
        <f>M158+O158</f>
        <v>1111.8704567675254</v>
      </c>
      <c r="R158" s="12"/>
      <c r="S158" s="12"/>
      <c r="T158" s="12"/>
      <c r="U158" s="12"/>
      <c r="V158" s="12"/>
      <c r="W158" s="12"/>
      <c r="X158" s="12"/>
    </row>
    <row r="159" spans="1:24" x14ac:dyDescent="0.25">
      <c r="A159" s="10" t="str">
        <f>$A$29</f>
        <v>Spring 2027</v>
      </c>
      <c r="B159" s="3">
        <f>IF(B158-D158+G158-(B158*($B$4+$H$4))+(C158*($C$4))&lt;0,0,B158-D158+G158-(B158*($B$4+$H$4))+(C158*($C$4)))</f>
        <v>275.78711447100005</v>
      </c>
      <c r="C159" s="3">
        <f>IF(C158-E158+H158-(C158*($C$4+$I$4))+(B158*($B$4))&lt;0,0,C158-E158+H158-(C158*($C$4+$I$4))+(B158*($B$4)))</f>
        <v>147.40345773450002</v>
      </c>
      <c r="D159" s="3">
        <f>$D$5*B159</f>
        <v>27.578711447100005</v>
      </c>
      <c r="E159" s="3">
        <f>$E$5*C159</f>
        <v>22.110518660175003</v>
      </c>
      <c r="F159" s="3">
        <f>F158+D159+E159</f>
        <v>101.99368285177501</v>
      </c>
      <c r="G159" s="3">
        <f>$F$5*F158</f>
        <v>0.52304452744499996</v>
      </c>
      <c r="H159" s="3">
        <f>$G$5*F158</f>
        <v>1.0460890548899999</v>
      </c>
      <c r="I159" s="3">
        <f>$H$5*B159+$I$5*C159</f>
        <v>0</v>
      </c>
      <c r="J159" s="3">
        <f>J158+I159</f>
        <v>0</v>
      </c>
      <c r="K159" s="30">
        <f t="shared" ref="K159:K169" si="47">J159/(B159+C159)</f>
        <v>0</v>
      </c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</row>
    <row r="160" spans="1:24" x14ac:dyDescent="0.25">
      <c r="A160" s="78"/>
      <c r="B160" s="3">
        <f>IF(B159-D159+G159-(B159*($B$5+$H$5))+(C159*($C$5))&lt;0,0,B159-D159+G159-(B159*($B$5+$H$5))+(C159*($C$5)))</f>
        <v>205.55649928588505</v>
      </c>
      <c r="C160" s="3">
        <f>IF(C159-E159+H159-(C159*($C$5+$I$5))+(B159*($B$5))&lt;0,0,C159-E159+H159-(C159*($C$5+$I$5))+(B159*($B$5)))</f>
        <v>169.51397639467501</v>
      </c>
      <c r="D160" s="3">
        <f>$D$6*B160</f>
        <v>20.555649928588508</v>
      </c>
      <c r="E160" s="3">
        <f>$E$6*C160</f>
        <v>25.427096459201252</v>
      </c>
      <c r="F160" s="3">
        <f t="shared" ref="F160:F169" si="48">F159+D160+E160</f>
        <v>147.97642923956477</v>
      </c>
      <c r="G160" s="3">
        <f>$F$6*F159</f>
        <v>2.0398736570355003</v>
      </c>
      <c r="H160" s="3">
        <f>$G$6*F159</f>
        <v>3.0598104855532502</v>
      </c>
      <c r="I160" s="3">
        <f>$H$6*B160+$I$6*C160</f>
        <v>0</v>
      </c>
      <c r="J160" s="3">
        <f t="shared" ref="J160:J169" si="49">J159+I160</f>
        <v>0</v>
      </c>
      <c r="K160" s="30">
        <f t="shared" si="47"/>
        <v>0</v>
      </c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</row>
    <row r="161" spans="1:24" x14ac:dyDescent="0.25">
      <c r="A161" s="100" t="s">
        <v>100</v>
      </c>
      <c r="B161" s="3">
        <f>IF(B160-D160+G160-(B160*($B$6+$H$6))+(C160*($C$6))&lt;0,0,B160-D160+G160-(B160*($B$6+$H$6))+(C160*($C$6)))</f>
        <v>158.76969081090485</v>
      </c>
      <c r="C161" s="3">
        <f>IF(C160-E160+H160-(C160*($C$6+$I$6))+(B160*($B$6))&lt;0,0,C160-E160+H160-(C160*($C$6+$I$6))+(B160*($B$6)))</f>
        <v>175.4177226244542</v>
      </c>
      <c r="D161" s="3">
        <f>$D$7*B161</f>
        <v>15.876969081090486</v>
      </c>
      <c r="E161" s="3">
        <f>$E$7*C161</f>
        <v>26.31265839366813</v>
      </c>
      <c r="F161" s="3">
        <f t="shared" si="48"/>
        <v>190.16605671432339</v>
      </c>
      <c r="G161" s="3">
        <f>$F$7*F160</f>
        <v>4.4392928771869427</v>
      </c>
      <c r="H161" s="3">
        <f>$G$7*F160</f>
        <v>5.9190571695825911</v>
      </c>
      <c r="I161" s="3">
        <f>$H$7*B161+$I$7*C161</f>
        <v>0</v>
      </c>
      <c r="J161" s="3">
        <f t="shared" si="49"/>
        <v>0</v>
      </c>
      <c r="K161" s="30">
        <f t="shared" si="47"/>
        <v>0</v>
      </c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</row>
    <row r="162" spans="1:24" x14ac:dyDescent="0.25">
      <c r="A162" s="100"/>
      <c r="B162" s="3">
        <f>IF(B161-D161+G161-(B161*($B$7+$H$7))+(C161*($C$7))&lt;0,0,B161-D161+G161-(B161*($B$7+$H$7))+(C161*($C$7)))</f>
        <v>128.3567579829386</v>
      </c>
      <c r="C162" s="3">
        <f>IF(C161-E161+H161-(C161*($C$7+$I$7))+(B161*($B$7))&lt;0,0,C161-E161+H161-(C161*($C$7+$I$7))+(B161*($B$7)))</f>
        <v>173.99937802443137</v>
      </c>
      <c r="D162" s="3">
        <f>$D$8*B162</f>
        <v>12.835675798293861</v>
      </c>
      <c r="E162" s="3">
        <f>$E$8*C162</f>
        <v>26.099906703664704</v>
      </c>
      <c r="F162" s="3">
        <f t="shared" si="48"/>
        <v>229.10163921628197</v>
      </c>
      <c r="G162" s="3">
        <f>$F$8*F161</f>
        <v>5.7049817014297011</v>
      </c>
      <c r="H162" s="3">
        <f>$G$8*F161</f>
        <v>9.5083028357161705</v>
      </c>
      <c r="I162" s="3">
        <f>$H$8*B162+$I$8*C162</f>
        <v>0</v>
      </c>
      <c r="J162" s="3">
        <f t="shared" si="49"/>
        <v>0</v>
      </c>
      <c r="K162" s="30">
        <f t="shared" si="47"/>
        <v>0</v>
      </c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</row>
    <row r="163" spans="1:24" x14ac:dyDescent="0.25">
      <c r="A163" s="100"/>
      <c r="B163" s="3">
        <f>IF(B162-D162+G162-(B162*($B$8+$H$8))+(C162*($C$8))&lt;0,0,B162-D162+G162-(B162*($B$8+$H$8))+(C162*($C$8)))</f>
        <v>107.82037977261231</v>
      </c>
      <c r="C163" s="3">
        <f>IF(C162-E162+H162-(C162*($C$8+$I$8))+(B162*($B$8))&lt;0,0,C162-E162+H162-(C162*($C$8+$I$8))+(B162*($B$8)))</f>
        <v>170.81345826994493</v>
      </c>
      <c r="D163" s="3">
        <f>$D$9*B163</f>
        <v>10.782037977261233</v>
      </c>
      <c r="E163" s="3">
        <f>$E$9*C163</f>
        <v>25.62201874049174</v>
      </c>
      <c r="F163" s="3">
        <f t="shared" si="48"/>
        <v>265.50569593403497</v>
      </c>
      <c r="G163" s="3">
        <f>$F$9*F162</f>
        <v>6.8730491764884585</v>
      </c>
      <c r="H163" s="3">
        <f>$G$9*F162</f>
        <v>11.455081960814098</v>
      </c>
      <c r="I163" s="3">
        <f>$H$9*B163+$I$9*C163</f>
        <v>0</v>
      </c>
      <c r="J163" s="3">
        <f t="shared" si="49"/>
        <v>0</v>
      </c>
      <c r="K163" s="30">
        <f t="shared" si="47"/>
        <v>0</v>
      </c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</row>
    <row r="164" spans="1:24" x14ac:dyDescent="0.25">
      <c r="A164" s="100"/>
      <c r="B164" s="3">
        <f>IF(B163-D163+G163-(B163*($B$9+$H$9))+(C163*($C$9))&lt;0,0,B163-D163+G163-(B163*($B$9+$H$9))+(C163*($C$9)))</f>
        <v>94.03764185568096</v>
      </c>
      <c r="C164" s="3">
        <f>IF(C163-E163+H163-(C163*($C$9+$I$9))+(B163*($B$9))&lt;0,0,C163-E163+H163-(C163*($C$9+$I$9))+(B163*($B$9)))</f>
        <v>166.52027060642587</v>
      </c>
      <c r="D164" s="3">
        <f>$D$10*B164</f>
        <v>9.4037641855680967</v>
      </c>
      <c r="E164" s="3">
        <f>$E$10*C164</f>
        <v>24.978040590963879</v>
      </c>
      <c r="F164" s="3">
        <f t="shared" si="48"/>
        <v>299.88750071056694</v>
      </c>
      <c r="G164" s="3">
        <f>$F$10*F163</f>
        <v>7.9651708780210493</v>
      </c>
      <c r="H164" s="3">
        <f>$G$10*F163</f>
        <v>13.275284796701749</v>
      </c>
      <c r="I164" s="3">
        <f>$H$10*B164+$I$10*C164</f>
        <v>0.94037641855680965</v>
      </c>
      <c r="J164" s="3">
        <f t="shared" si="49"/>
        <v>0.94037641855680965</v>
      </c>
      <c r="K164" s="30">
        <f t="shared" si="47"/>
        <v>3.6090879362321009E-3</v>
      </c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</row>
    <row r="165" spans="1:24" x14ac:dyDescent="0.25">
      <c r="A165" s="100"/>
      <c r="B165" s="3">
        <f>IF(B164-D164+G164-(B164*($B$10+$H$10))+(C164*($C$10))&lt;0,0,B164-D164+G164-(B164*($B$10+$H$10))+(C164*($C$10)))</f>
        <v>83.860912307742637</v>
      </c>
      <c r="C165" s="3">
        <f>IF(C164-E164+H164-(C164*($C$10+$I$10))+(B164*($B$10))&lt;0,0,C164-E164+H164-(C164*($C$10+$I$10))+(B164*($B$10)))</f>
        <v>162.61527463399821</v>
      </c>
      <c r="D165" s="3">
        <f>$D$11*B165</f>
        <v>8.3860912307742641</v>
      </c>
      <c r="E165" s="3">
        <f>$E$11*C165</f>
        <v>24.39229119509973</v>
      </c>
      <c r="F165" s="3">
        <f t="shared" si="48"/>
        <v>332.66588313644093</v>
      </c>
      <c r="G165" s="3">
        <f>$F$11*F164</f>
        <v>8.9966250213170085</v>
      </c>
      <c r="H165" s="3">
        <f>$G$11*F164</f>
        <v>14.994375035528348</v>
      </c>
      <c r="I165" s="3">
        <f>$H$11*B165+$I$11*C165</f>
        <v>1.6772182461548528</v>
      </c>
      <c r="J165" s="3">
        <f t="shared" si="49"/>
        <v>2.6175946647116626</v>
      </c>
      <c r="K165" s="30">
        <f t="shared" si="47"/>
        <v>1.0620071241731676E-2</v>
      </c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</row>
    <row r="166" spans="1:24" x14ac:dyDescent="0.25">
      <c r="A166" s="100"/>
      <c r="B166" s="3">
        <f>IF(B165-D165+G165-(B165*($B$11+$H$11))+(C165*($C$11))&lt;0,0,B165-D165+G165-(B165*($B$11+$H$11))+(C165*($C$11)))</f>
        <v>76.413308992439838</v>
      </c>
      <c r="C166" s="3">
        <f>IF(C165-E165+H165-(C165*($C$11+$I$11))+(B165*($B$11))&lt;0,0,C165-E165+H165-(C165*($C$11+$I$11))+(B165*($B$11)))</f>
        <v>159.59827733411754</v>
      </c>
      <c r="D166" s="3">
        <f>$D$12*B166</f>
        <v>7.6413308992439841</v>
      </c>
      <c r="E166" s="3">
        <f>$E$12*C166</f>
        <v>23.939741600117632</v>
      </c>
      <c r="F166" s="3">
        <f t="shared" si="48"/>
        <v>364.24695563580258</v>
      </c>
      <c r="G166" s="3">
        <f>$F$12*F165</f>
        <v>9.9799764940932274</v>
      </c>
      <c r="H166" s="3">
        <f>$G$12*F165</f>
        <v>16.633294156822046</v>
      </c>
      <c r="I166" s="3">
        <f>$H$12*B166+$I$12*C166</f>
        <v>11.461996348865975</v>
      </c>
      <c r="J166" s="3">
        <f t="shared" si="49"/>
        <v>14.079591013577637</v>
      </c>
      <c r="K166" s="30">
        <f t="shared" si="47"/>
        <v>5.9656355150701855E-2</v>
      </c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</row>
    <row r="167" spans="1:24" x14ac:dyDescent="0.25">
      <c r="A167" s="100"/>
      <c r="B167" s="3">
        <f>IF(B166-D166+G166-(B166*($B$12+$H$12))+(C166*($C$12))&lt;0,0,B166-D166+G166-(B166*($B$12+$H$12))+(C166*($C$12)))</f>
        <v>61.854059453951699</v>
      </c>
      <c r="C167" s="3">
        <f>IF(C166-E166+H166-(C166*($C$12+$I$12))+(B166*($B$12))&lt;0,0,C166-E166+H166-(C166*($C$12+$I$12))+(B166*($B$12)))</f>
        <v>157.72772867529338</v>
      </c>
      <c r="D167" s="3">
        <f>$D$13*B167</f>
        <v>6.1854059453951704</v>
      </c>
      <c r="E167" s="3">
        <f>$E$13*C167</f>
        <v>23.659159301294007</v>
      </c>
      <c r="F167" s="3">
        <f t="shared" si="48"/>
        <v>394.09152088249175</v>
      </c>
      <c r="G167" s="3">
        <f>$F$13*F166</f>
        <v>10.927408669074078</v>
      </c>
      <c r="H167" s="3">
        <f>$G$13*F166</f>
        <v>18.212347781790129</v>
      </c>
      <c r="I167" s="3">
        <f>$H$13*B167+$I$13*C167</f>
        <v>9.2781089180927552</v>
      </c>
      <c r="J167" s="3">
        <f t="shared" si="49"/>
        <v>23.357699931670393</v>
      </c>
      <c r="K167" s="30">
        <f t="shared" si="47"/>
        <v>0.10637357556229632</v>
      </c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</row>
    <row r="168" spans="1:24" x14ac:dyDescent="0.25">
      <c r="A168" s="100"/>
      <c r="B168" s="3">
        <f>IF(B167-D167+G167-(B167*($B$13+$H$13))+(C167*($C$13))&lt;0,0,B167-D167+G167-(B167*($B$13+$H$13))+(C167*($C$13)))</f>
        <v>55.153048885421214</v>
      </c>
      <c r="C168" s="3">
        <f>IF(C167-E167+H167-(C167*($C$13+$I$13))+(B167*($B$13))&lt;0,0,C167-E167+H167-(C167*($C$13+$I$13))+(B167*($B$13)))</f>
        <v>154.44582152990614</v>
      </c>
      <c r="D168" s="3">
        <f>$D$14*B168</f>
        <v>5.5153048885421221</v>
      </c>
      <c r="E168" s="3">
        <f>$E$14*C168</f>
        <v>23.166873229485919</v>
      </c>
      <c r="F168" s="3">
        <f t="shared" si="48"/>
        <v>422.7736990005198</v>
      </c>
      <c r="G168" s="3">
        <f>$F$14*F167</f>
        <v>11.822745626474752</v>
      </c>
      <c r="H168" s="3">
        <f>$G$14*F167</f>
        <v>19.70457604412459</v>
      </c>
      <c r="I168" s="3">
        <f>$H$14*B168+$I$14*C168</f>
        <v>12.906331978710366</v>
      </c>
      <c r="J168" s="3">
        <f t="shared" si="49"/>
        <v>36.264031910380758</v>
      </c>
      <c r="K168" s="30">
        <f t="shared" si="47"/>
        <v>0.17301635184637368</v>
      </c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</row>
    <row r="169" spans="1:24" x14ac:dyDescent="0.25">
      <c r="A169" s="100"/>
      <c r="B169" s="3">
        <f>IF(B168-D168+G168-(B168*($B$13+$H$13))+(C168*($C$13))&lt;0,0,B168-D168+G168-(B168*($B$13+$H$13))+(C168*($C$13)))</f>
        <v>52.637730266759128</v>
      </c>
      <c r="C169" s="3">
        <f>IF(C168-E168+H168-(C168*($C$14+$I$14))+(B168*($B$14))&lt;0,0,C168-E168+H168-(C168*($C$14+$I$14))+(B168*($B$14)))</f>
        <v>147.45148221128335</v>
      </c>
      <c r="D169" s="3">
        <f>$D$15*B169</f>
        <v>5.2637730266759135</v>
      </c>
      <c r="E169" s="3">
        <f>$E$15*C169</f>
        <v>22.117722331692502</v>
      </c>
      <c r="F169" s="3">
        <f t="shared" si="48"/>
        <v>450.1551943588882</v>
      </c>
      <c r="G169" s="3">
        <f>$F$15*F168</f>
        <v>12.683210970015594</v>
      </c>
      <c r="H169" s="3">
        <f>$G$15*F168</f>
        <v>21.13868495002599</v>
      </c>
      <c r="I169" s="3">
        <f>$H$15*B169+$I$15*C169</f>
        <v>13.793718828465202</v>
      </c>
      <c r="J169" s="3">
        <f t="shared" si="49"/>
        <v>50.057750738845961</v>
      </c>
      <c r="K169" s="30">
        <f t="shared" si="47"/>
        <v>0.25017715907267729</v>
      </c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</row>
    <row r="170" spans="1:24" x14ac:dyDescent="0.25">
      <c r="A170" s="100"/>
      <c r="B170" s="88"/>
      <c r="C170" s="88"/>
      <c r="D170" s="88"/>
      <c r="E170" s="88"/>
      <c r="F170" s="88"/>
      <c r="G170" s="88"/>
      <c r="H170" s="88"/>
      <c r="I170" s="88"/>
      <c r="J170" s="88"/>
      <c r="K170" s="88"/>
      <c r="L170" s="8" t="s">
        <v>119</v>
      </c>
      <c r="M170" s="7"/>
      <c r="N170" s="8" t="str">
        <f>"Coninuing Since  "&amp;$A$18</f>
        <v>Coninuing Since  New Fall 2022</v>
      </c>
      <c r="O170" s="7"/>
      <c r="P170" s="7"/>
      <c r="Q170" s="10" t="s">
        <v>120</v>
      </c>
      <c r="R170" s="12"/>
      <c r="S170" s="12"/>
      <c r="T170" s="12"/>
      <c r="U170" s="12"/>
      <c r="V170" s="12"/>
      <c r="W170" s="12"/>
      <c r="X170" s="12"/>
    </row>
    <row r="171" spans="1:24" x14ac:dyDescent="0.25">
      <c r="A171" s="10" t="str">
        <f>$A$17</f>
        <v>Semester</v>
      </c>
      <c r="B171" s="11" t="s">
        <v>84</v>
      </c>
      <c r="C171" s="11" t="s">
        <v>85</v>
      </c>
      <c r="D171" s="11" t="s">
        <v>95</v>
      </c>
      <c r="E171" s="11" t="s">
        <v>94</v>
      </c>
      <c r="F171" s="11" t="s">
        <v>86</v>
      </c>
      <c r="G171" s="11" t="s">
        <v>96</v>
      </c>
      <c r="H171" s="11" t="s">
        <v>97</v>
      </c>
      <c r="I171" s="11" t="s">
        <v>83</v>
      </c>
      <c r="J171" s="11" t="s">
        <v>87</v>
      </c>
      <c r="K171" s="11" t="s">
        <v>98</v>
      </c>
      <c r="L171" s="11" t="s">
        <v>102</v>
      </c>
      <c r="M171" s="11" t="s">
        <v>103</v>
      </c>
      <c r="N171" s="11" t="s">
        <v>102</v>
      </c>
      <c r="O171" s="11" t="s">
        <v>103</v>
      </c>
      <c r="P171" s="11" t="s">
        <v>102</v>
      </c>
      <c r="Q171" s="11" t="s">
        <v>103</v>
      </c>
      <c r="R171" s="12"/>
      <c r="S171" s="12"/>
      <c r="T171" s="12"/>
      <c r="U171" s="12"/>
      <c r="V171" s="12"/>
      <c r="W171" s="12"/>
      <c r="X171" s="12"/>
    </row>
    <row r="172" spans="1:24" x14ac:dyDescent="0.25">
      <c r="A172" s="10" t="str">
        <f>"New "&amp;$A$29</f>
        <v>New Spring 2027</v>
      </c>
      <c r="B172" s="92">
        <f>Enrollment!H4</f>
        <v>152.15840798400001</v>
      </c>
      <c r="C172" s="92">
        <f>Enrollment!H8</f>
        <v>38.039601996000002</v>
      </c>
      <c r="D172" s="3">
        <f>$D$4*B172</f>
        <v>15.215840798400002</v>
      </c>
      <c r="E172" s="3">
        <f>$E$4*C172</f>
        <v>5.7059402993999999</v>
      </c>
      <c r="F172" s="3">
        <f>D172+E172</f>
        <v>20.9217810978</v>
      </c>
      <c r="G172" s="3">
        <f>$F$4*F172</f>
        <v>0</v>
      </c>
      <c r="H172" s="3">
        <f>$G$4*F172</f>
        <v>0</v>
      </c>
      <c r="I172" s="3">
        <f>$H$4*B172+$I$4*C172</f>
        <v>0</v>
      </c>
      <c r="J172" s="3">
        <f>I172</f>
        <v>0</v>
      </c>
      <c r="K172" s="30">
        <f>J172/(B172+C172)</f>
        <v>0</v>
      </c>
      <c r="L172" s="3">
        <f>L331</f>
        <v>0</v>
      </c>
      <c r="M172" s="5">
        <f>M331</f>
        <v>0</v>
      </c>
      <c r="N172" s="5">
        <f>B159+B146+B133+B120+B107+B95+B82+B69+B56+B43</f>
        <v>900.77320881141225</v>
      </c>
      <c r="O172" s="5">
        <f>C159+C146+C133+C120+C107+C95+C82+C69</f>
        <v>936.2953421506146</v>
      </c>
      <c r="P172" s="5">
        <f>L172+N172</f>
        <v>900.77320881141225</v>
      </c>
      <c r="Q172" s="5">
        <f>M172+O172</f>
        <v>936.2953421506146</v>
      </c>
      <c r="R172" s="12"/>
      <c r="S172" s="12"/>
      <c r="T172" s="12"/>
      <c r="U172" s="12"/>
      <c r="V172" s="12"/>
      <c r="W172" s="12"/>
      <c r="X172" s="12"/>
    </row>
    <row r="173" spans="1:24" x14ac:dyDescent="0.25">
      <c r="A173" s="78"/>
      <c r="B173" s="59"/>
      <c r="C173" s="59"/>
      <c r="D173" s="59"/>
      <c r="E173" s="59"/>
      <c r="F173" s="59"/>
      <c r="G173" s="59"/>
      <c r="H173" s="59"/>
      <c r="I173" s="59"/>
      <c r="J173" s="59"/>
      <c r="K173" s="91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</row>
    <row r="174" spans="1:24" x14ac:dyDescent="0.25">
      <c r="A174" s="19" t="s">
        <v>108</v>
      </c>
      <c r="B174" s="12"/>
      <c r="C174" s="12"/>
      <c r="D174" s="12"/>
      <c r="E174" s="12"/>
      <c r="F174" s="12"/>
      <c r="G174" s="12"/>
      <c r="H174" s="12"/>
      <c r="I174" s="12"/>
      <c r="J174" s="12"/>
      <c r="K174" s="8" t="s">
        <v>115</v>
      </c>
      <c r="L174" s="8"/>
      <c r="M174" s="8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</row>
    <row r="175" spans="1:24" x14ac:dyDescent="0.25">
      <c r="A175" s="10" t="str">
        <f>$A$17</f>
        <v>Semester</v>
      </c>
      <c r="B175" s="11" t="s">
        <v>84</v>
      </c>
      <c r="C175" s="11" t="s">
        <v>85</v>
      </c>
      <c r="D175" s="11" t="s">
        <v>95</v>
      </c>
      <c r="E175" s="11" t="s">
        <v>94</v>
      </c>
      <c r="F175" s="11" t="s">
        <v>86</v>
      </c>
      <c r="G175" s="11" t="s">
        <v>96</v>
      </c>
      <c r="H175" s="11" t="s">
        <v>97</v>
      </c>
      <c r="I175" s="11" t="s">
        <v>83</v>
      </c>
      <c r="J175" s="11" t="s">
        <v>87</v>
      </c>
      <c r="K175" s="33"/>
      <c r="L175" s="11" t="s">
        <v>102</v>
      </c>
      <c r="M175" s="11" t="s">
        <v>103</v>
      </c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</row>
    <row r="176" spans="1:24" x14ac:dyDescent="0.25">
      <c r="A176" s="10" t="s">
        <v>121</v>
      </c>
      <c r="B176" s="92">
        <f>Enrollment!A13</f>
        <v>420</v>
      </c>
      <c r="C176" s="92">
        <f>Enrollment!A14</f>
        <v>110</v>
      </c>
      <c r="D176" s="3">
        <f>$D$4*B176</f>
        <v>42</v>
      </c>
      <c r="E176" s="3">
        <f>$E$4*C176</f>
        <v>16.5</v>
      </c>
      <c r="F176" s="3">
        <f>D176+E176</f>
        <v>58.5</v>
      </c>
      <c r="G176" s="3">
        <v>0</v>
      </c>
      <c r="H176" s="3">
        <v>0</v>
      </c>
      <c r="I176" s="3">
        <f>$H$4*B176+$I$4*C176</f>
        <v>0</v>
      </c>
      <c r="J176" s="3">
        <f>I176</f>
        <v>0</v>
      </c>
      <c r="K176" s="30" t="s">
        <v>134</v>
      </c>
      <c r="L176" s="5">
        <f>SUM(B177:$B$187)</f>
        <v>1443.4128343154659</v>
      </c>
      <c r="M176" s="5">
        <f>SUM(C177:$C$187)</f>
        <v>1994.217698931086</v>
      </c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</row>
    <row r="177" spans="1:24" x14ac:dyDescent="0.25">
      <c r="A177" s="10" t="s">
        <v>104</v>
      </c>
      <c r="B177" s="3">
        <f>IF(B176-D176+G176-(B176*($B$4+$H$4))+(C176*($C$4))&lt;0,0,B176-D176+G176-(B176*($B$4+$H$4))+(C176*($C$4)))</f>
        <v>305</v>
      </c>
      <c r="C177" s="3">
        <f>IF(C176-E176+H176-(C176*($C$4+$I$4))+(B176*($B$4))&lt;0,0,C176-E176+H176-(C176*($C$4+$I$4))+(B176*($B$4)))</f>
        <v>166.5</v>
      </c>
      <c r="D177" s="3">
        <f>$D$5*B177</f>
        <v>30.5</v>
      </c>
      <c r="E177" s="3">
        <f>$E$5*C177</f>
        <v>24.974999999999998</v>
      </c>
      <c r="F177" s="3">
        <f>F176+D177+E177</f>
        <v>113.97499999999999</v>
      </c>
      <c r="G177" s="3">
        <f>$F$5*F176</f>
        <v>0.58499999999999996</v>
      </c>
      <c r="H177" s="3">
        <f>$G$5*F176</f>
        <v>1.17</v>
      </c>
      <c r="I177" s="3">
        <f>$H$5*B177+$I$5*C177</f>
        <v>0</v>
      </c>
      <c r="J177" s="3">
        <f>J176+I177</f>
        <v>0</v>
      </c>
      <c r="K177" s="30" t="s">
        <v>135</v>
      </c>
      <c r="L177" s="5">
        <f>SUM(B178:$B$187)</f>
        <v>1138.4128343154659</v>
      </c>
      <c r="M177" s="5">
        <f>SUM(C178:$C$187)</f>
        <v>1827.717698931086</v>
      </c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</row>
    <row r="178" spans="1:24" x14ac:dyDescent="0.25">
      <c r="A178" s="10" t="s">
        <v>105</v>
      </c>
      <c r="B178" s="3">
        <f>IF(B177-D177+G177-(B177*($B$5+$H$5))+(C177*($C$5))&lt;0,0,B177-D177+G177-(B177*($B$5+$H$5))+(C177*($C$5)))</f>
        <v>227.68499999999997</v>
      </c>
      <c r="C178" s="3">
        <f>IF(C177-E177+H177-(C177*($C$5+$I$5))+(B177*($B$5))&lt;0,0,C177-E177+H177-(C177*($C$5+$I$5))+(B177*($B$5)))</f>
        <v>190.09499999999997</v>
      </c>
      <c r="D178" s="3">
        <f>$D$6*B178</f>
        <v>22.7685</v>
      </c>
      <c r="E178" s="3">
        <f>$E$6*C178</f>
        <v>28.514249999999993</v>
      </c>
      <c r="F178" s="3">
        <f t="shared" ref="F178:F186" si="50">F177+D178+E178</f>
        <v>165.25774999999999</v>
      </c>
      <c r="G178" s="3">
        <f>$F$6*F177</f>
        <v>2.2795000000000001</v>
      </c>
      <c r="H178" s="3">
        <f>$G$6*F177</f>
        <v>3.4192499999999999</v>
      </c>
      <c r="I178" s="3">
        <f>$H$6*B178+$I$6*C178</f>
        <v>0</v>
      </c>
      <c r="J178" s="3">
        <f t="shared" ref="J178:J186" si="51">J177+I178</f>
        <v>0</v>
      </c>
      <c r="K178" s="30" t="s">
        <v>136</v>
      </c>
      <c r="L178" s="5">
        <f>SUM(B179:$B$187)</f>
        <v>910.72783431546588</v>
      </c>
      <c r="M178" s="5">
        <f>SUM(C179:$C$187)</f>
        <v>1637.6226989310858</v>
      </c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</row>
    <row r="179" spans="1:24" x14ac:dyDescent="0.25">
      <c r="A179" s="10" t="s">
        <v>106</v>
      </c>
      <c r="B179" s="3">
        <f>IF(B178-D178+G178-(B178*($B$6+$H$6))+(C178*($C$6))&lt;0,0,B178-D178+G178-(B178*($B$6+$H$6))+(C178*($C$6)))</f>
        <v>176.1148</v>
      </c>
      <c r="C179" s="3">
        <f>IF(C178-E178+H178-(C178*($C$6+$I$6))+(B178*($B$6))&lt;0,0,C178-E178+H178-(C178*($C$6+$I$6))+(B178*($B$6)))</f>
        <v>196.08119999999997</v>
      </c>
      <c r="D179" s="3">
        <f>$D$7*B179</f>
        <v>17.61148</v>
      </c>
      <c r="E179" s="3">
        <f>$E$7*C179</f>
        <v>29.412179999999992</v>
      </c>
      <c r="F179" s="3">
        <f t="shared" si="50"/>
        <v>212.28140999999999</v>
      </c>
      <c r="G179" s="3">
        <f>$F$7*F178</f>
        <v>4.9577324999999997</v>
      </c>
      <c r="H179" s="3">
        <f>$G$7*F178</f>
        <v>6.6103099999999992</v>
      </c>
      <c r="I179" s="3">
        <f>$H$7*B179+$I$7*C179</f>
        <v>0</v>
      </c>
      <c r="J179" s="3">
        <f t="shared" si="51"/>
        <v>0</v>
      </c>
      <c r="K179" s="30" t="s">
        <v>137</v>
      </c>
      <c r="L179" s="5">
        <f>SUM(B180:$B$187)</f>
        <v>734.61303431546582</v>
      </c>
      <c r="M179" s="5">
        <f>SUM(C180:$C$187)</f>
        <v>1441.5414989310859</v>
      </c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</row>
    <row r="180" spans="1:24" x14ac:dyDescent="0.25">
      <c r="A180" s="10" t="s">
        <v>107</v>
      </c>
      <c r="B180" s="3">
        <f>IF(B179-D179+G179-(B179*($B$7+$H$7))+(C179*($C$7))&lt;0,0,B179-D179+G179-(B179*($B$7+$H$7))+(C179*($C$7)))</f>
        <v>142.5627685</v>
      </c>
      <c r="C180" s="3">
        <f>IF(C179-E179+H179-(C179*($C$7+$I$7))+(B179*($B$7))&lt;0,0,C179-E179+H179-(C179*($C$7+$I$7))+(B179*($B$7)))</f>
        <v>194.17761399999998</v>
      </c>
      <c r="D180" s="3">
        <f>$D$8*B180</f>
        <v>14.256276850000001</v>
      </c>
      <c r="E180" s="3">
        <f>$E$8*C180</f>
        <v>29.126642099999994</v>
      </c>
      <c r="F180" s="3">
        <f t="shared" si="50"/>
        <v>255.66432895</v>
      </c>
      <c r="G180" s="3">
        <f>$F$8*F179</f>
        <v>6.3684422999999999</v>
      </c>
      <c r="H180" s="3">
        <f>$G$8*F179</f>
        <v>10.6140705</v>
      </c>
      <c r="I180" s="3">
        <f>$H$8*B180+$I$8*C180</f>
        <v>0</v>
      </c>
      <c r="J180" s="3">
        <f t="shared" si="51"/>
        <v>0</v>
      </c>
      <c r="K180" s="30" t="s">
        <v>138</v>
      </c>
      <c r="L180" s="5">
        <f>SUM(B181:$B$187)</f>
        <v>592.05026581546588</v>
      </c>
      <c r="M180" s="5">
        <f>SUM(C181:$C$187)</f>
        <v>1247.3638849310857</v>
      </c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</row>
    <row r="181" spans="1:24" x14ac:dyDescent="0.25">
      <c r="A181" s="10" t="s">
        <v>109</v>
      </c>
      <c r="B181" s="3">
        <f>IF(B180-D180+G180-(B180*($B$8+$H$8))+(C180*($C$8))&lt;0,0,B180-D180+G180-(B180*($B$8+$H$8))+(C180*($C$8)))</f>
        <v>119.87763091000001</v>
      </c>
      <c r="C181" s="3">
        <f>IF(C180-E180+H180-(C180*($C$8+$I$8))+(B180*($B$8))&lt;0,0,C180-E180+H180-(C180*($C$8+$I$8))+(B180*($B$8)))</f>
        <v>190.46234543999998</v>
      </c>
      <c r="D181" s="3">
        <f>$D$9*B181</f>
        <v>11.987763091000001</v>
      </c>
      <c r="E181" s="3">
        <f>$E$9*C181</f>
        <v>28.569351815999998</v>
      </c>
      <c r="F181" s="3">
        <f t="shared" si="50"/>
        <v>296.221443857</v>
      </c>
      <c r="G181" s="3">
        <f>$F$9*F180</f>
        <v>7.6699298684999997</v>
      </c>
      <c r="H181" s="3">
        <f>$G$9*F180</f>
        <v>12.783216447500001</v>
      </c>
      <c r="I181" s="3">
        <f>$H$9*B181+$I$9*C181</f>
        <v>0</v>
      </c>
      <c r="J181" s="3">
        <f t="shared" si="51"/>
        <v>0</v>
      </c>
      <c r="K181" s="30" t="s">
        <v>139</v>
      </c>
      <c r="L181" s="5">
        <f>SUM(B182:$B$187)</f>
        <v>472.17263490546588</v>
      </c>
      <c r="M181" s="5">
        <f>SUM(C182:$C$187)</f>
        <v>1056.9015394910857</v>
      </c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</row>
    <row r="182" spans="1:24" x14ac:dyDescent="0.25">
      <c r="A182" s="10" t="s">
        <v>110</v>
      </c>
      <c r="B182" s="3">
        <f>IF(B181-D181+G181-(B181*($B$9+$H$9))+(C181*($C$9))&lt;0,0,B181-D181+G181-(B181*($B$9+$H$9))+(C181*($C$9)))</f>
        <v>104.63662450400001</v>
      </c>
      <c r="C182" s="3">
        <f>IF(C181-E181+H181-(C181*($C$9+$I$9))+(B181*($B$9))&lt;0,0,C181-E181+H181-(C181*($C$9+$I$9))+(B181*($B$9)))</f>
        <v>185.59938325499999</v>
      </c>
      <c r="D182" s="3">
        <f>$D$10*B182</f>
        <v>10.463662450400001</v>
      </c>
      <c r="E182" s="3">
        <f>$E$10*C182</f>
        <v>27.839907488249999</v>
      </c>
      <c r="F182" s="3">
        <f t="shared" si="50"/>
        <v>334.52501379565001</v>
      </c>
      <c r="G182" s="3">
        <f>$F$10*F181</f>
        <v>8.8866433157099998</v>
      </c>
      <c r="H182" s="3">
        <f>$G$10*F181</f>
        <v>14.81107219285</v>
      </c>
      <c r="I182" s="3">
        <f>$H$10*B182+$I$10*C182</f>
        <v>1.0463662450400002</v>
      </c>
      <c r="J182" s="3">
        <f t="shared" si="51"/>
        <v>1.0463662450400002</v>
      </c>
      <c r="K182" s="30" t="s">
        <v>140</v>
      </c>
      <c r="L182" s="5">
        <f>SUM(B183:$B$187)</f>
        <v>367.53601040146589</v>
      </c>
      <c r="M182" s="5">
        <f>SUM(C183:$C$187)</f>
        <v>871.30215623608592</v>
      </c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</row>
    <row r="183" spans="1:24" x14ac:dyDescent="0.25">
      <c r="A183" s="10" t="s">
        <v>111</v>
      </c>
      <c r="B183" s="3">
        <f>IF(B182-D182+G182-(B182*($B$10+$H$10))+(C182*($C$10))&lt;0,0,B182-D182+G182-(B182*($B$10+$H$10))+(C182*($C$10)))</f>
        <v>93.367655078729996</v>
      </c>
      <c r="C183" s="3">
        <f>IF(C182-E182+H182-(C182*($C$10+$I$10))+(B182*($B$10))&lt;0,0,C182-E182+H182-(C182*($C$10+$I$10))+(B182*($B$10)))</f>
        <v>181.21613200513997</v>
      </c>
      <c r="D183" s="3">
        <f>$D$11*B183</f>
        <v>9.3367655078730003</v>
      </c>
      <c r="E183" s="3">
        <f>$E$11*C183</f>
        <v>27.182419800770994</v>
      </c>
      <c r="F183" s="3">
        <f t="shared" si="50"/>
        <v>371.04419910429402</v>
      </c>
      <c r="G183" s="3">
        <f>$F$11*F182</f>
        <v>10.035750413869501</v>
      </c>
      <c r="H183" s="3">
        <f>$G$11*F182</f>
        <v>16.7262506897825</v>
      </c>
      <c r="I183" s="3">
        <f>$H$11*B183+$I$11*C183</f>
        <v>1.8673531015745999</v>
      </c>
      <c r="J183" s="3">
        <f t="shared" si="51"/>
        <v>2.9137193466146001</v>
      </c>
      <c r="K183" s="30" t="s">
        <v>141</v>
      </c>
      <c r="L183" s="5">
        <f>SUM(B184:$B$187)</f>
        <v>274.16835532273592</v>
      </c>
      <c r="M183" s="5">
        <f>SUM(C184:$C$187)</f>
        <v>690.0860242309459</v>
      </c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</row>
    <row r="184" spans="1:24" x14ac:dyDescent="0.25">
      <c r="A184" s="10" t="s">
        <v>112</v>
      </c>
      <c r="B184" s="3">
        <f>IF(B183-D183+G183-(B183*($B$11+$H$11))+(C183*($C$11))&lt;0,0,B183-D183+G183-(B183*($B$11+$H$11))+(C183*($C$11)))</f>
        <v>85.111633212408776</v>
      </c>
      <c r="C184" s="3">
        <f>IF(C183-E183+H183-(C183*($C$11+$I$11))+(B183*($B$11))&lt;0,0,C183-E183+H183-(C183*($C$11+$I$11))+(B183*($B$11)))</f>
        <v>177.84761656489457</v>
      </c>
      <c r="D184" s="3">
        <f>$D$12*B184</f>
        <v>8.5111633212408773</v>
      </c>
      <c r="E184" s="3">
        <f>$E$12*C184</f>
        <v>26.677142484734183</v>
      </c>
      <c r="F184" s="3">
        <f t="shared" si="50"/>
        <v>406.23250491026909</v>
      </c>
      <c r="G184" s="3">
        <f>$F$12*F183</f>
        <v>11.131325973128821</v>
      </c>
      <c r="H184" s="3">
        <f>$G$12*F183</f>
        <v>18.552209955214703</v>
      </c>
      <c r="I184" s="3">
        <f>$H$12*B184+$I$12*C184</f>
        <v>12.766744981861317</v>
      </c>
      <c r="J184" s="3">
        <f t="shared" si="51"/>
        <v>15.680464328475917</v>
      </c>
      <c r="K184" s="30" t="s">
        <v>142</v>
      </c>
      <c r="L184" s="5">
        <f>SUM(B185:$B$187)</f>
        <v>189.05672211032712</v>
      </c>
      <c r="M184" s="5">
        <f>SUM(C185:$C$187)</f>
        <v>512.23840766605144</v>
      </c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</row>
    <row r="185" spans="1:24" x14ac:dyDescent="0.25">
      <c r="A185" s="10" t="s">
        <v>113</v>
      </c>
      <c r="B185" s="3">
        <f>IF(B184-D184+G184-(B184*($B$12+$H$12))+(C184*($C$12))&lt;0,0,B184-D184+G184-(B184*($B$12+$H$12))+(C184*($C$12)))</f>
        <v>68.918555239450399</v>
      </c>
      <c r="C185" s="3">
        <f>IF(C184-E184+H184-(C184*($C$12+$I$12))+(B184*($B$12))&lt;0,0,C184-E184+H184-(C184*($C$12+$I$12))+(B184*($B$12)))</f>
        <v>175.76917967836008</v>
      </c>
      <c r="D185" s="3">
        <f>$D$13*B185</f>
        <v>6.8918555239450399</v>
      </c>
      <c r="E185" s="3">
        <f>$E$13*C185</f>
        <v>26.365376951754012</v>
      </c>
      <c r="F185" s="3">
        <f t="shared" si="50"/>
        <v>439.48973738596811</v>
      </c>
      <c r="G185" s="3">
        <f>$F$13*F184</f>
        <v>12.186975147308072</v>
      </c>
      <c r="H185" s="3">
        <f>$G$13*F184</f>
        <v>20.311625245513454</v>
      </c>
      <c r="I185" s="3">
        <f>$H$13*B185+$I$13*C185</f>
        <v>10.33778328591756</v>
      </c>
      <c r="J185" s="3">
        <f t="shared" si="51"/>
        <v>26.018247614393477</v>
      </c>
      <c r="K185" s="30" t="s">
        <v>117</v>
      </c>
      <c r="L185" s="5">
        <f>SUM(B186:$B$187)</f>
        <v>120.13816687087673</v>
      </c>
      <c r="M185" s="5">
        <f>SUM(C186:$C$187)</f>
        <v>336.46922798769128</v>
      </c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</row>
    <row r="186" spans="1:24" x14ac:dyDescent="0.25">
      <c r="A186" s="10" t="s">
        <v>114</v>
      </c>
      <c r="B186" s="3">
        <f>IF(B185-D185+G185-(B185*($B$13+$H$13))+(C185*($C$13))&lt;0,0,B185-D185+G185-(B185*($B$13+$H$13))+(C185*($C$13)))</f>
        <v>61.466428525291278</v>
      </c>
      <c r="C186" s="3">
        <f>IF(C185-E185+H185-(C185*($C$13+$I$13))+(B185*($B$13))&lt;0,0,C185-E185+H185-(C185*($C$13+$I$13))+(B185*($B$13)))</f>
        <v>172.12489102372413</v>
      </c>
      <c r="D186" s="3">
        <f>$D$14*B186</f>
        <v>6.1466428525291281</v>
      </c>
      <c r="E186" s="3">
        <f>$E$14*C186</f>
        <v>25.81873365355862</v>
      </c>
      <c r="F186" s="3">
        <f t="shared" si="50"/>
        <v>471.45511389205586</v>
      </c>
      <c r="G186" s="3">
        <f>$F$14*F185</f>
        <v>13.184692121579042</v>
      </c>
      <c r="H186" s="3">
        <f>$G$14*F185</f>
        <v>21.974486869298406</v>
      </c>
      <c r="I186" s="3">
        <f>$H$14*B186+$I$14*C186</f>
        <v>14.383711009505415</v>
      </c>
      <c r="J186" s="3">
        <f t="shared" si="51"/>
        <v>40.401958623898892</v>
      </c>
      <c r="K186" s="30" t="s">
        <v>118</v>
      </c>
      <c r="L186" s="5">
        <f>SUM(B187:$B$187)</f>
        <v>58.671738345585453</v>
      </c>
      <c r="M186" s="5">
        <f>SUM(C187:$C$187)</f>
        <v>164.34433696396718</v>
      </c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</row>
    <row r="187" spans="1:24" x14ac:dyDescent="0.25">
      <c r="A187" s="10" t="s">
        <v>116</v>
      </c>
      <c r="B187" s="3">
        <f>IF(B186-D186+G186-(B186*($B$13+$H$13))+(C186*($C$13))&lt;0,0,B186-D186+G186-(B186*($B$13+$H$13))+(C186*($C$13)))</f>
        <v>58.671738345585453</v>
      </c>
      <c r="C187" s="3">
        <f>IF(C186-E186+H186-(C186*($C$14+$I$14))+(B186*($B$14))&lt;0,0,C186-E186+H186-(C186*($C$14+$I$14))+(B186*($B$14)))</f>
        <v>164.34433696396718</v>
      </c>
      <c r="D187" s="3">
        <f>$D$14*B187</f>
        <v>5.867173834558546</v>
      </c>
      <c r="E187" s="3">
        <f>$E$14*C187</f>
        <v>24.651650544595075</v>
      </c>
      <c r="F187" s="3">
        <f t="shared" ref="F187" si="52">F186+D187+E187</f>
        <v>501.97393827120953</v>
      </c>
      <c r="G187" s="3">
        <f>$F$15*F186</f>
        <v>14.143653416761675</v>
      </c>
      <c r="H187" s="3">
        <f>$G$15*F186</f>
        <v>23.572755694602794</v>
      </c>
      <c r="I187" s="3">
        <f>$H$14*B187+$I$14*C187</f>
        <v>13.731090860756833</v>
      </c>
      <c r="J187" s="3">
        <f t="shared" ref="J187" si="53">J186+I187</f>
        <v>54.133049484655729</v>
      </c>
      <c r="K187" s="91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</row>
    <row r="188" spans="1:24" x14ac:dyDescent="0.25">
      <c r="A188" s="78"/>
      <c r="B188" s="15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</row>
    <row r="189" spans="1:24" x14ac:dyDescent="0.25">
      <c r="A189" s="78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</row>
    <row r="190" spans="1:24" x14ac:dyDescent="0.25">
      <c r="A190" s="78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</row>
    <row r="191" spans="1:24" x14ac:dyDescent="0.25">
      <c r="A191" s="78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</row>
    <row r="192" spans="1:24" x14ac:dyDescent="0.25">
      <c r="A192" s="78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</row>
    <row r="193" spans="1:24" x14ac:dyDescent="0.25">
      <c r="A193" s="78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</row>
    <row r="194" spans="1:24" x14ac:dyDescent="0.25">
      <c r="A194" s="78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</row>
    <row r="195" spans="1:24" x14ac:dyDescent="0.25">
      <c r="A195" s="78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</row>
    <row r="196" spans="1:24" x14ac:dyDescent="0.25">
      <c r="A196" s="78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85636-A213-484E-AF9D-BDE9FA890284}">
  <dimension ref="A1:V100"/>
  <sheetViews>
    <sheetView zoomScale="90" zoomScaleNormal="90" workbookViewId="0"/>
  </sheetViews>
  <sheetFormatPr defaultRowHeight="15" x14ac:dyDescent="0.25"/>
  <cols>
    <col min="1" max="1" width="23.28515625" customWidth="1"/>
    <col min="2" max="7" width="12.7109375" customWidth="1"/>
    <col min="8" max="8" width="12.140625" customWidth="1"/>
    <col min="9" max="14" width="11.28515625" customWidth="1"/>
    <col min="15" max="15" width="9.85546875" customWidth="1"/>
  </cols>
  <sheetData>
    <row r="1" spans="1:22" x14ac:dyDescent="0.25">
      <c r="A1" s="69" t="str">
        <f>Summary!A1</f>
        <v>Foggy Mountain College</v>
      </c>
      <c r="B1" s="75"/>
      <c r="C1" s="76"/>
      <c r="D1" s="76"/>
      <c r="E1" s="126" t="s">
        <v>62</v>
      </c>
      <c r="F1" s="76"/>
      <c r="G1" s="76"/>
      <c r="H1" s="77"/>
      <c r="I1" s="76"/>
      <c r="J1" s="76"/>
      <c r="K1" s="76"/>
      <c r="L1" s="126" t="s">
        <v>63</v>
      </c>
      <c r="M1" s="76"/>
      <c r="N1" s="76"/>
      <c r="O1" s="77"/>
      <c r="P1" s="12"/>
      <c r="Q1" s="12"/>
      <c r="R1" s="12"/>
      <c r="S1" s="12"/>
      <c r="T1" s="12"/>
      <c r="U1" s="12"/>
      <c r="V1" s="12"/>
    </row>
    <row r="2" spans="1:22" ht="60" x14ac:dyDescent="0.25">
      <c r="A2" s="12"/>
      <c r="B2" s="41" t="s">
        <v>15</v>
      </c>
      <c r="C2" s="42" t="s">
        <v>17</v>
      </c>
      <c r="D2" s="42" t="s">
        <v>18</v>
      </c>
      <c r="E2" s="42" t="s">
        <v>16</v>
      </c>
      <c r="F2" s="42" t="s">
        <v>19</v>
      </c>
      <c r="G2" s="42" t="s">
        <v>20</v>
      </c>
      <c r="H2" s="43" t="s">
        <v>21</v>
      </c>
      <c r="I2" s="20" t="s">
        <v>15</v>
      </c>
      <c r="J2" s="42" t="s">
        <v>17</v>
      </c>
      <c r="K2" s="42" t="s">
        <v>18</v>
      </c>
      <c r="L2" s="42" t="s">
        <v>16</v>
      </c>
      <c r="M2" s="42" t="s">
        <v>19</v>
      </c>
      <c r="N2" s="42" t="s">
        <v>20</v>
      </c>
      <c r="O2" s="43" t="s">
        <v>21</v>
      </c>
      <c r="P2" s="20" t="s">
        <v>29</v>
      </c>
      <c r="Q2" s="12"/>
      <c r="R2" s="12"/>
      <c r="S2" s="12"/>
      <c r="T2" s="12"/>
      <c r="U2" s="12"/>
      <c r="V2" s="12"/>
    </row>
    <row r="3" spans="1:22" x14ac:dyDescent="0.25">
      <c r="A3" s="9" t="s">
        <v>6</v>
      </c>
      <c r="B3" s="35">
        <v>120</v>
      </c>
      <c r="C3" s="1">
        <v>90000</v>
      </c>
      <c r="D3" s="121">
        <f>Summary!B24</f>
        <v>0.45</v>
      </c>
      <c r="E3" s="2">
        <v>20</v>
      </c>
      <c r="F3" s="1">
        <v>40000</v>
      </c>
      <c r="G3" s="121">
        <f>Summary!B24</f>
        <v>0.45</v>
      </c>
      <c r="H3" s="36">
        <v>200000</v>
      </c>
      <c r="I3" s="34">
        <v>20</v>
      </c>
      <c r="J3" s="1">
        <v>15000</v>
      </c>
      <c r="K3" s="121">
        <f>Summary!B25</f>
        <v>0.1</v>
      </c>
      <c r="L3" s="2">
        <v>5</v>
      </c>
      <c r="M3" s="1">
        <v>18000</v>
      </c>
      <c r="N3" s="121">
        <f>Summary!B25</f>
        <v>0.1</v>
      </c>
      <c r="O3" s="36">
        <v>100000</v>
      </c>
      <c r="P3" s="114">
        <f>Summary!B23</f>
        <v>0.02</v>
      </c>
      <c r="Q3" s="12"/>
      <c r="R3" s="12"/>
      <c r="S3" s="12"/>
      <c r="T3" s="12"/>
      <c r="U3" s="12"/>
      <c r="V3" s="12"/>
    </row>
    <row r="4" spans="1:22" x14ac:dyDescent="0.25">
      <c r="A4" s="9" t="s">
        <v>7</v>
      </c>
      <c r="B4" s="35">
        <v>5</v>
      </c>
      <c r="C4" s="21">
        <f>C3</f>
        <v>90000</v>
      </c>
      <c r="D4" s="27"/>
      <c r="E4" s="2">
        <v>25</v>
      </c>
      <c r="F4" s="1">
        <v>40000</v>
      </c>
      <c r="G4" s="122">
        <f>G3</f>
        <v>0.45</v>
      </c>
      <c r="H4" s="36">
        <v>200000</v>
      </c>
      <c r="I4" s="34">
        <v>0</v>
      </c>
      <c r="J4" s="21">
        <f>J3</f>
        <v>15000</v>
      </c>
      <c r="K4" s="27"/>
      <c r="L4" s="2">
        <v>10</v>
      </c>
      <c r="M4" s="1">
        <v>18000</v>
      </c>
      <c r="N4" s="122">
        <f>N3</f>
        <v>0.1</v>
      </c>
      <c r="O4" s="36">
        <v>100000</v>
      </c>
      <c r="P4" s="12"/>
      <c r="Q4" s="12"/>
      <c r="R4" s="12"/>
      <c r="S4" s="12"/>
      <c r="T4" s="12"/>
      <c r="U4" s="12"/>
      <c r="V4" s="12"/>
    </row>
    <row r="5" spans="1:22" x14ac:dyDescent="0.25">
      <c r="A5" s="9" t="s">
        <v>8</v>
      </c>
      <c r="B5" s="37"/>
      <c r="C5" s="27"/>
      <c r="D5" s="27"/>
      <c r="E5" s="2">
        <v>30</v>
      </c>
      <c r="F5" s="1">
        <v>40000</v>
      </c>
      <c r="G5" s="122">
        <f>G3</f>
        <v>0.45</v>
      </c>
      <c r="H5" s="36">
        <v>200000</v>
      </c>
      <c r="I5" s="27"/>
      <c r="J5" s="27"/>
      <c r="K5" s="27"/>
      <c r="L5" s="2">
        <v>20</v>
      </c>
      <c r="M5" s="1">
        <v>18000</v>
      </c>
      <c r="N5" s="122">
        <f>N3</f>
        <v>0.1</v>
      </c>
      <c r="O5" s="36">
        <v>100000</v>
      </c>
      <c r="P5" s="12"/>
      <c r="Q5" s="12"/>
      <c r="R5" s="12"/>
      <c r="S5" s="12"/>
      <c r="T5" s="12"/>
      <c r="U5" s="12"/>
      <c r="V5" s="12"/>
    </row>
    <row r="6" spans="1:22" x14ac:dyDescent="0.25">
      <c r="A6" s="9" t="s">
        <v>9</v>
      </c>
      <c r="B6" s="37"/>
      <c r="C6" s="27"/>
      <c r="D6" s="27"/>
      <c r="E6" s="2">
        <v>20</v>
      </c>
      <c r="F6" s="1">
        <v>40000</v>
      </c>
      <c r="G6" s="122">
        <f>G3</f>
        <v>0.45</v>
      </c>
      <c r="H6" s="36">
        <v>200000</v>
      </c>
      <c r="I6" s="27"/>
      <c r="J6" s="27"/>
      <c r="K6" s="27"/>
      <c r="L6" s="2">
        <v>5</v>
      </c>
      <c r="M6" s="1">
        <v>18000</v>
      </c>
      <c r="N6" s="122">
        <f>N3</f>
        <v>0.1</v>
      </c>
      <c r="O6" s="36">
        <v>100000</v>
      </c>
      <c r="P6" s="12"/>
      <c r="Q6" s="12"/>
      <c r="R6" s="12"/>
      <c r="S6" s="12"/>
      <c r="T6" s="12"/>
      <c r="U6" s="12"/>
      <c r="V6" s="12"/>
    </row>
    <row r="7" spans="1:22" ht="15.75" thickBot="1" x14ac:dyDescent="0.3">
      <c r="A7" s="9" t="s">
        <v>10</v>
      </c>
      <c r="B7" s="37"/>
      <c r="C7" s="27"/>
      <c r="D7" s="27"/>
      <c r="E7" s="80">
        <v>20</v>
      </c>
      <c r="F7" s="81">
        <v>40000</v>
      </c>
      <c r="G7" s="122">
        <f>G3</f>
        <v>0.45</v>
      </c>
      <c r="H7" s="79">
        <v>800000</v>
      </c>
      <c r="I7" s="27"/>
      <c r="J7" s="27"/>
      <c r="K7" s="27"/>
      <c r="L7" s="80">
        <v>5</v>
      </c>
      <c r="M7" s="81">
        <v>18000</v>
      </c>
      <c r="N7" s="122">
        <f>N3</f>
        <v>0.1</v>
      </c>
      <c r="O7" s="79">
        <v>500000</v>
      </c>
      <c r="P7" s="12"/>
      <c r="Q7" s="12"/>
      <c r="R7" s="12"/>
      <c r="S7" s="12"/>
      <c r="T7" s="12"/>
      <c r="U7" s="12"/>
      <c r="V7" s="12"/>
    </row>
    <row r="8" spans="1:22" x14ac:dyDescent="0.25">
      <c r="A8" s="12"/>
      <c r="B8" s="45"/>
      <c r="C8" s="46"/>
      <c r="D8" s="46"/>
      <c r="E8" s="124" t="s">
        <v>62</v>
      </c>
      <c r="F8" s="46"/>
      <c r="G8" s="46"/>
      <c r="H8" s="82"/>
      <c r="I8" s="45"/>
      <c r="J8" s="58"/>
      <c r="K8" s="46"/>
      <c r="L8" s="125" t="s">
        <v>48</v>
      </c>
      <c r="M8" s="46"/>
      <c r="N8" s="46"/>
      <c r="O8" s="82"/>
      <c r="P8" s="12"/>
      <c r="Q8" s="12"/>
      <c r="R8" s="12"/>
      <c r="S8" s="12"/>
      <c r="T8" s="12"/>
      <c r="U8" s="12"/>
      <c r="V8" s="12"/>
    </row>
    <row r="9" spans="1:22" x14ac:dyDescent="0.25">
      <c r="A9" s="8" t="s">
        <v>78</v>
      </c>
      <c r="B9" s="123">
        <f>Summary!$B$29+1</f>
        <v>2022</v>
      </c>
      <c r="C9" s="48">
        <f>B9+1</f>
        <v>2023</v>
      </c>
      <c r="D9" s="48">
        <f t="shared" ref="D9" si="0">C9+1</f>
        <v>2024</v>
      </c>
      <c r="E9" s="48">
        <f t="shared" ref="E9" si="1">D9+1</f>
        <v>2025</v>
      </c>
      <c r="F9" s="48">
        <f t="shared" ref="F9" si="2">E9+1</f>
        <v>2026</v>
      </c>
      <c r="G9" s="48">
        <f>F9+1</f>
        <v>2027</v>
      </c>
      <c r="H9" s="74"/>
      <c r="I9" s="123">
        <f>Summary!$B$29+1</f>
        <v>2022</v>
      </c>
      <c r="J9" s="48">
        <f>I9+1</f>
        <v>2023</v>
      </c>
      <c r="K9" s="48">
        <f t="shared" ref="K9" si="3">J9+1</f>
        <v>2024</v>
      </c>
      <c r="L9" s="48">
        <f t="shared" ref="L9" si="4">K9+1</f>
        <v>2025</v>
      </c>
      <c r="M9" s="48">
        <f t="shared" ref="M9" si="5">L9+1</f>
        <v>2026</v>
      </c>
      <c r="N9" s="48">
        <f t="shared" ref="N9" si="6">M9+1</f>
        <v>2027</v>
      </c>
      <c r="O9" s="74"/>
      <c r="P9" s="12"/>
      <c r="Q9" s="12"/>
      <c r="R9" s="12"/>
      <c r="S9" s="12"/>
      <c r="T9" s="12"/>
      <c r="U9" s="12"/>
      <c r="V9" s="12"/>
    </row>
    <row r="10" spans="1:22" x14ac:dyDescent="0.25">
      <c r="A10" s="9" t="str">
        <f>Summary!$E12</f>
        <v>Instruction</v>
      </c>
      <c r="B10" s="37"/>
      <c r="C10" s="2">
        <v>0</v>
      </c>
      <c r="D10" s="2">
        <v>0</v>
      </c>
      <c r="E10" s="2">
        <v>0</v>
      </c>
      <c r="F10" s="2">
        <v>4</v>
      </c>
      <c r="G10" s="2">
        <v>-4</v>
      </c>
      <c r="H10" s="56"/>
      <c r="I10" s="37"/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56"/>
      <c r="P10" s="12"/>
      <c r="Q10" s="12"/>
      <c r="R10" s="12"/>
      <c r="S10" s="12"/>
      <c r="T10" s="12"/>
      <c r="U10" s="12"/>
      <c r="V10" s="12"/>
    </row>
    <row r="11" spans="1:22" x14ac:dyDescent="0.25">
      <c r="A11" s="9" t="str">
        <f>Summary!$E13</f>
        <v>Academic Support</v>
      </c>
      <c r="B11" s="37"/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56"/>
      <c r="I11" s="37"/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56"/>
      <c r="P11" s="12"/>
      <c r="Q11" s="12"/>
      <c r="R11" s="12"/>
      <c r="S11" s="12"/>
      <c r="T11" s="12"/>
      <c r="U11" s="12"/>
      <c r="V11" s="12"/>
    </row>
    <row r="12" spans="1:22" x14ac:dyDescent="0.25">
      <c r="A12" s="128"/>
      <c r="B12" s="52"/>
      <c r="C12" s="53"/>
      <c r="D12" s="53"/>
      <c r="E12" s="53"/>
      <c r="F12" s="53"/>
      <c r="G12" s="53"/>
      <c r="H12" s="54"/>
      <c r="I12" s="37"/>
      <c r="J12" s="27"/>
      <c r="K12" s="27"/>
      <c r="L12" s="27"/>
      <c r="M12" s="27"/>
      <c r="N12" s="27"/>
      <c r="O12" s="56"/>
      <c r="P12" s="12"/>
      <c r="Q12" s="12"/>
      <c r="R12" s="12"/>
      <c r="S12" s="12"/>
      <c r="T12" s="12"/>
      <c r="U12" s="12"/>
      <c r="V12" s="12"/>
    </row>
    <row r="13" spans="1:22" x14ac:dyDescent="0.25">
      <c r="A13" s="78"/>
      <c r="B13" s="37"/>
      <c r="C13" s="27"/>
      <c r="D13" s="27"/>
      <c r="E13" s="27"/>
      <c r="F13" s="27"/>
      <c r="G13" s="27"/>
      <c r="H13" s="54"/>
      <c r="I13" s="37"/>
      <c r="J13" s="27"/>
      <c r="K13" s="27"/>
      <c r="L13" s="27"/>
      <c r="M13" s="27"/>
      <c r="N13" s="27"/>
      <c r="O13" s="54"/>
      <c r="P13" s="12"/>
      <c r="Q13" s="12"/>
      <c r="R13" s="12"/>
      <c r="S13" s="12"/>
      <c r="T13" s="12"/>
      <c r="U13" s="12"/>
      <c r="V13" s="12"/>
    </row>
    <row r="14" spans="1:22" x14ac:dyDescent="0.25">
      <c r="A14" s="19" t="s">
        <v>79</v>
      </c>
      <c r="B14" s="123">
        <f>Summary!$B$29+1</f>
        <v>2022</v>
      </c>
      <c r="C14" s="48">
        <f>B14+1</f>
        <v>2023</v>
      </c>
      <c r="D14" s="48">
        <f t="shared" ref="D14" si="7">C14+1</f>
        <v>2024</v>
      </c>
      <c r="E14" s="48">
        <f t="shared" ref="E14" si="8">D14+1</f>
        <v>2025</v>
      </c>
      <c r="F14" s="48">
        <f t="shared" ref="F14" si="9">E14+1</f>
        <v>2026</v>
      </c>
      <c r="G14" s="48">
        <f>F14+1</f>
        <v>2027</v>
      </c>
      <c r="H14" s="56"/>
      <c r="I14" s="123">
        <f>Summary!$B$29+1</f>
        <v>2022</v>
      </c>
      <c r="J14" s="48">
        <f>I14+1</f>
        <v>2023</v>
      </c>
      <c r="K14" s="48">
        <f t="shared" ref="K14" si="10">J14+1</f>
        <v>2024</v>
      </c>
      <c r="L14" s="48">
        <f t="shared" ref="L14" si="11">K14+1</f>
        <v>2025</v>
      </c>
      <c r="M14" s="48">
        <f t="shared" ref="M14" si="12">L14+1</f>
        <v>2026</v>
      </c>
      <c r="N14" s="48">
        <f>M14+1</f>
        <v>2027</v>
      </c>
      <c r="O14" s="56"/>
      <c r="P14" s="12"/>
      <c r="Q14" s="12"/>
      <c r="R14" s="12"/>
      <c r="S14" s="12"/>
      <c r="T14" s="12"/>
      <c r="U14" s="12"/>
      <c r="V14" s="12"/>
    </row>
    <row r="15" spans="1:22" x14ac:dyDescent="0.25">
      <c r="A15" s="9" t="str">
        <f>Summary!$E12</f>
        <v>Instruction</v>
      </c>
      <c r="B15" s="37"/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56"/>
      <c r="I15" s="37"/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56"/>
      <c r="P15" s="12"/>
      <c r="Q15" s="12"/>
      <c r="R15" s="12"/>
      <c r="S15" s="12"/>
      <c r="T15" s="12"/>
      <c r="U15" s="12"/>
      <c r="V15" s="12"/>
    </row>
    <row r="16" spans="1:22" x14ac:dyDescent="0.25">
      <c r="A16" s="9" t="str">
        <f>Summary!$E13</f>
        <v>Academic Support</v>
      </c>
      <c r="B16" s="37"/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56"/>
      <c r="I16" s="37"/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56"/>
      <c r="P16" s="12"/>
      <c r="Q16" s="12"/>
      <c r="R16" s="12"/>
      <c r="S16" s="12"/>
      <c r="T16" s="12"/>
      <c r="U16" s="12"/>
      <c r="V16" s="12"/>
    </row>
    <row r="17" spans="1:22" x14ac:dyDescent="0.25">
      <c r="A17" s="9" t="str">
        <f>Summary!$E14</f>
        <v>Student Affairs</v>
      </c>
      <c r="B17" s="37"/>
      <c r="C17" s="2">
        <v>0</v>
      </c>
      <c r="D17" s="2">
        <v>3</v>
      </c>
      <c r="E17" s="2">
        <v>0</v>
      </c>
      <c r="F17" s="2">
        <v>0</v>
      </c>
      <c r="G17" s="2">
        <v>0</v>
      </c>
      <c r="H17" s="56"/>
      <c r="I17" s="37"/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56"/>
      <c r="P17" s="12"/>
      <c r="Q17" s="12"/>
      <c r="R17" s="12"/>
      <c r="S17" s="12"/>
      <c r="T17" s="12"/>
      <c r="U17" s="12"/>
      <c r="V17" s="12"/>
    </row>
    <row r="18" spans="1:22" x14ac:dyDescent="0.25">
      <c r="A18" s="9" t="str">
        <f>Summary!$E15</f>
        <v>Administrative Support</v>
      </c>
      <c r="B18" s="37"/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56"/>
      <c r="I18" s="37"/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56"/>
      <c r="P18" s="12"/>
      <c r="Q18" s="12"/>
      <c r="R18" s="12"/>
      <c r="S18" s="12"/>
      <c r="T18" s="12"/>
      <c r="U18" s="12"/>
      <c r="V18" s="12"/>
    </row>
    <row r="19" spans="1:22" ht="15.75" thickBot="1" x14ac:dyDescent="0.3">
      <c r="A19" s="9" t="str">
        <f>Summary!$E16</f>
        <v>Plant Operations</v>
      </c>
      <c r="B19" s="38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57"/>
      <c r="I19" s="38"/>
      <c r="J19" s="39">
        <v>0</v>
      </c>
      <c r="K19" s="39">
        <v>2</v>
      </c>
      <c r="L19" s="39">
        <v>0</v>
      </c>
      <c r="M19" s="39">
        <v>0</v>
      </c>
      <c r="N19" s="39">
        <v>0</v>
      </c>
      <c r="O19" s="57"/>
      <c r="P19" s="12"/>
      <c r="Q19" s="12"/>
      <c r="R19" s="12"/>
      <c r="S19" s="12"/>
      <c r="T19" s="12"/>
      <c r="U19" s="12"/>
      <c r="V19" s="12"/>
    </row>
    <row r="20" spans="1:22" ht="15.75" thickBot="1" x14ac:dyDescent="0.3">
      <c r="A20" s="78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x14ac:dyDescent="0.25">
      <c r="A21" s="12"/>
      <c r="B21" s="45"/>
      <c r="C21" s="46"/>
      <c r="D21" s="46"/>
      <c r="E21" s="124" t="s">
        <v>62</v>
      </c>
      <c r="F21" s="46"/>
      <c r="G21" s="72"/>
      <c r="H21" s="47" t="s">
        <v>61</v>
      </c>
      <c r="I21" s="73"/>
      <c r="J21" s="58"/>
      <c r="K21" s="46"/>
      <c r="L21" s="125" t="s">
        <v>48</v>
      </c>
      <c r="M21" s="46"/>
      <c r="N21" s="72"/>
      <c r="O21" s="47" t="s">
        <v>61</v>
      </c>
      <c r="P21" s="7"/>
      <c r="Q21" s="12"/>
      <c r="R21" s="12"/>
      <c r="S21" s="12"/>
      <c r="T21" s="12"/>
      <c r="U21" s="12"/>
      <c r="V21" s="12"/>
    </row>
    <row r="22" spans="1:22" x14ac:dyDescent="0.25">
      <c r="A22" s="8" t="s">
        <v>24</v>
      </c>
      <c r="B22" s="123">
        <f>Summary!$B$29+1</f>
        <v>2022</v>
      </c>
      <c r="C22" s="106">
        <f>B22+1</f>
        <v>2023</v>
      </c>
      <c r="D22" s="106">
        <f t="shared" ref="D22:F22" si="13">C22+1</f>
        <v>2024</v>
      </c>
      <c r="E22" s="106">
        <f t="shared" si="13"/>
        <v>2025</v>
      </c>
      <c r="F22" s="106">
        <f t="shared" si="13"/>
        <v>2026</v>
      </c>
      <c r="G22" s="106">
        <f>F22+1</f>
        <v>2027</v>
      </c>
      <c r="H22" s="74"/>
      <c r="I22" s="123">
        <f>Summary!$B$29+1</f>
        <v>2022</v>
      </c>
      <c r="J22" s="106">
        <f>I22+1</f>
        <v>2023</v>
      </c>
      <c r="K22" s="106">
        <f t="shared" ref="K22:N22" si="14">J22+1</f>
        <v>2024</v>
      </c>
      <c r="L22" s="106">
        <f t="shared" si="14"/>
        <v>2025</v>
      </c>
      <c r="M22" s="106">
        <f t="shared" si="14"/>
        <v>2026</v>
      </c>
      <c r="N22" s="106">
        <f t="shared" si="14"/>
        <v>2027</v>
      </c>
      <c r="O22" s="74"/>
      <c r="P22" s="12"/>
      <c r="Q22" s="12"/>
      <c r="R22" s="12"/>
      <c r="S22" s="12"/>
      <c r="T22" s="12"/>
      <c r="U22" s="12"/>
      <c r="V22" s="12"/>
    </row>
    <row r="23" spans="1:22" x14ac:dyDescent="0.25">
      <c r="A23" s="9" t="str">
        <f>Summary!$E12</f>
        <v>Instruction</v>
      </c>
      <c r="B23" s="49">
        <f>B3</f>
        <v>120</v>
      </c>
      <c r="C23" s="44">
        <f>B23+$H$23+C10</f>
        <v>116</v>
      </c>
      <c r="D23" s="44">
        <f t="shared" ref="D23:G23" si="15">C23+$H$23+D10</f>
        <v>112</v>
      </c>
      <c r="E23" s="44">
        <f t="shared" si="15"/>
        <v>108</v>
      </c>
      <c r="F23" s="44">
        <f>E23+$H$23+F10</f>
        <v>108</v>
      </c>
      <c r="G23" s="44">
        <f t="shared" si="15"/>
        <v>100</v>
      </c>
      <c r="H23" s="50">
        <f>Summary!B16</f>
        <v>-4</v>
      </c>
      <c r="I23" s="49">
        <f>I3</f>
        <v>20</v>
      </c>
      <c r="J23" s="44">
        <f>I23+$O$23</f>
        <v>28</v>
      </c>
      <c r="K23" s="44">
        <f t="shared" ref="K23:N23" si="16">J23+$O$23</f>
        <v>36</v>
      </c>
      <c r="L23" s="44">
        <f t="shared" si="16"/>
        <v>44</v>
      </c>
      <c r="M23" s="44">
        <f t="shared" si="16"/>
        <v>52</v>
      </c>
      <c r="N23" s="44">
        <f t="shared" si="16"/>
        <v>60</v>
      </c>
      <c r="O23" s="50">
        <f>Summary!$B$18</f>
        <v>8</v>
      </c>
      <c r="P23" s="12"/>
      <c r="Q23" s="12"/>
      <c r="R23" s="12"/>
      <c r="S23" s="12"/>
      <c r="T23" s="12"/>
      <c r="U23" s="12"/>
      <c r="V23" s="12"/>
    </row>
    <row r="24" spans="1:22" x14ac:dyDescent="0.25">
      <c r="A24" s="9" t="str">
        <f>Summary!$E13</f>
        <v>Academic Support</v>
      </c>
      <c r="B24" s="49">
        <f>B4</f>
        <v>5</v>
      </c>
      <c r="C24" s="44">
        <f>B24+$H$24+C11</f>
        <v>5</v>
      </c>
      <c r="D24" s="44">
        <f t="shared" ref="D24:G24" si="17">C24+$H$24+D11</f>
        <v>5</v>
      </c>
      <c r="E24" s="44">
        <f t="shared" si="17"/>
        <v>5</v>
      </c>
      <c r="F24" s="44">
        <f t="shared" si="17"/>
        <v>5</v>
      </c>
      <c r="G24" s="44">
        <f t="shared" si="17"/>
        <v>5</v>
      </c>
      <c r="H24" s="51">
        <v>0</v>
      </c>
      <c r="I24" s="49">
        <f>I4</f>
        <v>0</v>
      </c>
      <c r="J24" s="44">
        <f>I24+$O$24</f>
        <v>0</v>
      </c>
      <c r="K24" s="44">
        <f t="shared" ref="K24:N24" si="18">J24+$O$24</f>
        <v>0</v>
      </c>
      <c r="L24" s="44">
        <f t="shared" si="18"/>
        <v>0</v>
      </c>
      <c r="M24" s="44">
        <f t="shared" si="18"/>
        <v>0</v>
      </c>
      <c r="N24" s="44">
        <f t="shared" si="18"/>
        <v>0</v>
      </c>
      <c r="O24" s="51">
        <v>0</v>
      </c>
      <c r="P24" s="12"/>
      <c r="Q24" s="12"/>
      <c r="R24" s="12"/>
      <c r="S24" s="12"/>
      <c r="T24" s="12"/>
      <c r="U24" s="12"/>
      <c r="V24" s="12"/>
    </row>
    <row r="25" spans="1:22" x14ac:dyDescent="0.25">
      <c r="A25" s="128"/>
      <c r="B25" s="52"/>
      <c r="C25" s="53"/>
      <c r="D25" s="53"/>
      <c r="E25" s="53"/>
      <c r="F25" s="53"/>
      <c r="G25" s="53"/>
      <c r="H25" s="54"/>
      <c r="I25" s="37"/>
      <c r="J25" s="27"/>
      <c r="K25" s="27"/>
      <c r="L25" s="27"/>
      <c r="M25" s="27"/>
      <c r="N25" s="27"/>
      <c r="O25" s="56"/>
      <c r="P25" s="12"/>
      <c r="Q25" s="12"/>
      <c r="R25" s="12"/>
      <c r="S25" s="12"/>
      <c r="T25" s="12"/>
      <c r="U25" s="12"/>
      <c r="V25" s="12"/>
    </row>
    <row r="26" spans="1:22" x14ac:dyDescent="0.25">
      <c r="A26" s="78"/>
      <c r="B26" s="37"/>
      <c r="C26" s="27"/>
      <c r="D26" s="27"/>
      <c r="E26" s="27"/>
      <c r="F26" s="27"/>
      <c r="G26" s="27"/>
      <c r="H26" s="55" t="s">
        <v>28</v>
      </c>
      <c r="I26" s="37"/>
      <c r="J26" s="27"/>
      <c r="K26" s="27"/>
      <c r="L26" s="27"/>
      <c r="M26" s="27"/>
      <c r="N26" s="27"/>
      <c r="O26" s="55" t="s">
        <v>28</v>
      </c>
      <c r="P26" s="12"/>
      <c r="Q26" s="12"/>
      <c r="R26" s="12"/>
      <c r="S26" s="12"/>
      <c r="T26" s="12"/>
      <c r="U26" s="12"/>
      <c r="V26" s="12"/>
    </row>
    <row r="27" spans="1:22" x14ac:dyDescent="0.25">
      <c r="A27" s="19" t="s">
        <v>25</v>
      </c>
      <c r="B27" s="123">
        <f>Summary!$B$29+1</f>
        <v>2022</v>
      </c>
      <c r="C27" s="106">
        <f>B27+1</f>
        <v>2023</v>
      </c>
      <c r="D27" s="106">
        <f t="shared" ref="D27:F27" si="19">C27+1</f>
        <v>2024</v>
      </c>
      <c r="E27" s="106">
        <f t="shared" si="19"/>
        <v>2025</v>
      </c>
      <c r="F27" s="106">
        <f t="shared" si="19"/>
        <v>2026</v>
      </c>
      <c r="G27" s="106">
        <f>F27+1</f>
        <v>2027</v>
      </c>
      <c r="H27" s="50">
        <f>Summary!B17</f>
        <v>-3</v>
      </c>
      <c r="I27" s="123">
        <f>Summary!$B$29+1</f>
        <v>2022</v>
      </c>
      <c r="J27" s="106">
        <f>I27+1</f>
        <v>2023</v>
      </c>
      <c r="K27" s="106">
        <f t="shared" ref="K27" si="20">J27+1</f>
        <v>2024</v>
      </c>
      <c r="L27" s="106">
        <f t="shared" ref="L27" si="21">K27+1</f>
        <v>2025</v>
      </c>
      <c r="M27" s="106">
        <f t="shared" ref="M27" si="22">L27+1</f>
        <v>2026</v>
      </c>
      <c r="N27" s="106">
        <f>M27+1</f>
        <v>2027</v>
      </c>
      <c r="O27" s="50">
        <f>Summary!$B$19</f>
        <v>-1</v>
      </c>
      <c r="P27" s="12"/>
      <c r="Q27" s="12"/>
      <c r="R27" s="12"/>
      <c r="S27" s="12"/>
      <c r="T27" s="12"/>
      <c r="U27" s="12"/>
      <c r="V27" s="12"/>
    </row>
    <row r="28" spans="1:22" x14ac:dyDescent="0.25">
      <c r="A28" s="9" t="str">
        <f>Summary!$E12</f>
        <v>Instruction</v>
      </c>
      <c r="B28" s="83">
        <f>E3</f>
        <v>20</v>
      </c>
      <c r="C28" s="21">
        <f>Staffing!B28+C15+(B28/B$33)*$H$27</f>
        <v>19.478260869565219</v>
      </c>
      <c r="D28" s="21">
        <f>Staffing!C28+D15+(C28/C$33)*$H$27</f>
        <v>18.956521739130437</v>
      </c>
      <c r="E28" s="21">
        <f>Staffing!D28+E15+(D28/D$33)*$H$27</f>
        <v>18.448757763975159</v>
      </c>
      <c r="F28" s="21">
        <f>Staffing!E28+F15+(E28/E$33)*$H$27</f>
        <v>17.940993788819881</v>
      </c>
      <c r="G28" s="21">
        <f>Staffing!F28+G15+(F28/F$33)*$H$27</f>
        <v>17.433229813664603</v>
      </c>
      <c r="H28" s="56"/>
      <c r="I28" s="83">
        <f>L3</f>
        <v>5</v>
      </c>
      <c r="J28" s="21">
        <f>Staffing!I28+J15+(I28/I$33)*$O$27</f>
        <v>4.8888888888888893</v>
      </c>
      <c r="K28" s="21">
        <f>Staffing!J28+K15+(J28/J$33)*$O$27</f>
        <v>4.7777777777777786</v>
      </c>
      <c r="L28" s="21">
        <f>Staffing!K28+L15+(K28/K$33)*$O$27</f>
        <v>4.6716049382716056</v>
      </c>
      <c r="M28" s="21">
        <f>Staffing!L28+M15+(L28/L$33)*$O$27</f>
        <v>4.5654320987654327</v>
      </c>
      <c r="N28" s="21">
        <f>Staffing!M28+N15+(M28/M$33)*$O$27</f>
        <v>4.4592592592592597</v>
      </c>
      <c r="O28" s="56"/>
      <c r="P28" s="12"/>
      <c r="Q28" s="12"/>
      <c r="R28" s="12"/>
      <c r="S28" s="12"/>
      <c r="T28" s="12"/>
      <c r="U28" s="12"/>
      <c r="V28" s="12"/>
    </row>
    <row r="29" spans="1:22" x14ac:dyDescent="0.25">
      <c r="A29" s="9" t="str">
        <f>Summary!$E13</f>
        <v>Academic Support</v>
      </c>
      <c r="B29" s="83">
        <f>E4</f>
        <v>25</v>
      </c>
      <c r="C29" s="21">
        <f>Staffing!B29+C16+(B29/B$33)*$H$27</f>
        <v>24.347826086956523</v>
      </c>
      <c r="D29" s="21">
        <f>Staffing!C29+D16+(C29/C$33)*$H$27</f>
        <v>23.695652173913047</v>
      </c>
      <c r="E29" s="21">
        <f>Staffing!D29+E16+(D29/D$33)*$H$27</f>
        <v>23.060947204968947</v>
      </c>
      <c r="F29" s="21">
        <f>Staffing!E29+F16+(E29/E$33)*$H$27</f>
        <v>22.426242236024848</v>
      </c>
      <c r="G29" s="21">
        <f>Staffing!F29+G16+(F29/F$33)*$H$27</f>
        <v>21.791537267080749</v>
      </c>
      <c r="H29" s="56"/>
      <c r="I29" s="83">
        <f>L4</f>
        <v>10</v>
      </c>
      <c r="J29" s="21">
        <f>Staffing!I29+J16+(I29/I$33)*$O$27</f>
        <v>9.7777777777777786</v>
      </c>
      <c r="K29" s="21">
        <f>Staffing!J29+K16+(J29/J$33)*$O$27</f>
        <v>9.5555555555555571</v>
      </c>
      <c r="L29" s="21">
        <f>Staffing!K29+L16+(K29/K$33)*$O$27</f>
        <v>9.3432098765432112</v>
      </c>
      <c r="M29" s="21">
        <f>Staffing!L29+M16+(L29/L$33)*$O$27</f>
        <v>9.1308641975308653</v>
      </c>
      <c r="N29" s="21">
        <f>Staffing!M29+N16+(M29/M$33)*$O$27</f>
        <v>8.9185185185185194</v>
      </c>
      <c r="O29" s="56"/>
      <c r="P29" s="12"/>
      <c r="Q29" s="12"/>
      <c r="R29" s="12"/>
      <c r="S29" s="12"/>
      <c r="T29" s="12"/>
      <c r="U29" s="12"/>
      <c r="V29" s="12"/>
    </row>
    <row r="30" spans="1:22" x14ac:dyDescent="0.25">
      <c r="A30" s="9" t="str">
        <f>Summary!$E14</f>
        <v>Student Affairs</v>
      </c>
      <c r="B30" s="83">
        <f>E5</f>
        <v>30</v>
      </c>
      <c r="C30" s="21">
        <f>Staffing!B30+C17+(B30/B$33)*$H$27</f>
        <v>29.217391304347828</v>
      </c>
      <c r="D30" s="21">
        <f>Staffing!C30+D17+(C30/C$33)*$H$27</f>
        <v>31.434782608695656</v>
      </c>
      <c r="E30" s="21">
        <f>Staffing!D30+E17+(D30/D$33)*$H$27</f>
        <v>30.592779503105593</v>
      </c>
      <c r="F30" s="21">
        <f>Staffing!E30+F17+(E30/E$33)*$H$27</f>
        <v>29.75077639751553</v>
      </c>
      <c r="G30" s="21">
        <f>Staffing!F30+G17+(F30/F$33)*$H$27</f>
        <v>28.908773291925467</v>
      </c>
      <c r="H30" s="56"/>
      <c r="I30" s="83">
        <f>L5</f>
        <v>20</v>
      </c>
      <c r="J30" s="21">
        <f>Staffing!I30+J17+(I30/I$33)*$O$27</f>
        <v>19.555555555555557</v>
      </c>
      <c r="K30" s="21">
        <f>Staffing!J30+K17+(J30/J$33)*$O$27</f>
        <v>19.111111111111114</v>
      </c>
      <c r="L30" s="21">
        <f>Staffing!K30+L17+(K30/K$33)*$O$27</f>
        <v>18.686419753086422</v>
      </c>
      <c r="M30" s="21">
        <f>Staffing!L30+M17+(L30/L$33)*$O$27</f>
        <v>18.261728395061731</v>
      </c>
      <c r="N30" s="21">
        <f>Staffing!M30+N17+(M30/M$33)*$O$27</f>
        <v>17.837037037037039</v>
      </c>
      <c r="O30" s="56"/>
      <c r="P30" s="12"/>
      <c r="Q30" s="12"/>
      <c r="R30" s="12"/>
      <c r="S30" s="12"/>
      <c r="T30" s="12"/>
      <c r="U30" s="12"/>
      <c r="V30" s="12"/>
    </row>
    <row r="31" spans="1:22" x14ac:dyDescent="0.25">
      <c r="A31" s="9" t="str">
        <f>Summary!$E15</f>
        <v>Administrative Support</v>
      </c>
      <c r="B31" s="83">
        <f>E6</f>
        <v>20</v>
      </c>
      <c r="C31" s="21">
        <f>Staffing!B31+C18+(B31/B$33)*$H$27</f>
        <v>19.478260869565219</v>
      </c>
      <c r="D31" s="21">
        <f>Staffing!C31+D18+(C31/C$33)*$H$27</f>
        <v>18.956521739130437</v>
      </c>
      <c r="E31" s="21">
        <f>Staffing!D31+E18+(D31/D$33)*$H$27</f>
        <v>18.448757763975159</v>
      </c>
      <c r="F31" s="21">
        <f>Staffing!E31+F18+(E31/E$33)*$H$27</f>
        <v>17.940993788819881</v>
      </c>
      <c r="G31" s="21">
        <f>Staffing!F31+G18+(F31/F$33)*$H$27</f>
        <v>17.433229813664603</v>
      </c>
      <c r="H31" s="56"/>
      <c r="I31" s="83">
        <f>L6</f>
        <v>5</v>
      </c>
      <c r="J31" s="21">
        <f>Staffing!I31+J18+(I31/I$33)*$O$27</f>
        <v>4.8888888888888893</v>
      </c>
      <c r="K31" s="21">
        <f>Staffing!J31+K18+(J31/J$33)*$O$27</f>
        <v>4.7777777777777786</v>
      </c>
      <c r="L31" s="21">
        <f>Staffing!K31+L18+(K31/K$33)*$O$27</f>
        <v>4.6716049382716056</v>
      </c>
      <c r="M31" s="21">
        <f>Staffing!L31+M18+(L31/L$33)*$O$27</f>
        <v>4.5654320987654327</v>
      </c>
      <c r="N31" s="21">
        <f>Staffing!M31+N18+(M31/M$33)*$O$27</f>
        <v>4.4592592592592597</v>
      </c>
      <c r="O31" s="56"/>
      <c r="P31" s="12"/>
      <c r="Q31" s="12"/>
      <c r="R31" s="12"/>
      <c r="S31" s="12"/>
      <c r="T31" s="12"/>
      <c r="U31" s="12"/>
      <c r="V31" s="12"/>
    </row>
    <row r="32" spans="1:22" x14ac:dyDescent="0.25">
      <c r="A32" s="9" t="str">
        <f>Summary!$E16</f>
        <v>Plant Operations</v>
      </c>
      <c r="B32" s="84">
        <f>E7</f>
        <v>20</v>
      </c>
      <c r="C32" s="4">
        <f>Staffing!B32+C19+(B32/B$33)*$H$27</f>
        <v>19.478260869565219</v>
      </c>
      <c r="D32" s="4">
        <f>Staffing!C32+D19+(C32/C$33)*$H$27</f>
        <v>18.956521739130437</v>
      </c>
      <c r="E32" s="4">
        <f>Staffing!D32+E19+(D32/D$33)*$H$27</f>
        <v>18.448757763975159</v>
      </c>
      <c r="F32" s="4">
        <f>Staffing!E32+F19+(E32/E$33)*$H$27</f>
        <v>17.940993788819881</v>
      </c>
      <c r="G32" s="4">
        <f>Staffing!F32+G19+(F32/F$33)*$H$27</f>
        <v>17.433229813664603</v>
      </c>
      <c r="H32" s="56"/>
      <c r="I32" s="84">
        <f>L7</f>
        <v>5</v>
      </c>
      <c r="J32" s="4">
        <f>Staffing!I32+J19+(I32/I$33)*$O$27</f>
        <v>4.8888888888888893</v>
      </c>
      <c r="K32" s="4">
        <f>Staffing!J32+K19+(J32/J$33)*$O$27</f>
        <v>6.7777777777777786</v>
      </c>
      <c r="L32" s="4">
        <f>Staffing!K32+L19+(K32/K$33)*$O$27</f>
        <v>6.6271604938271613</v>
      </c>
      <c r="M32" s="4">
        <f>Staffing!L32+M19+(L32/L$33)*$O$27</f>
        <v>6.4765432098765441</v>
      </c>
      <c r="N32" s="4">
        <f>Staffing!M32+N19+(M32/M$33)*$O$27</f>
        <v>6.3259259259259268</v>
      </c>
      <c r="O32" s="56"/>
      <c r="P32" s="12"/>
      <c r="Q32" s="12"/>
      <c r="R32" s="12"/>
      <c r="S32" s="12"/>
      <c r="T32" s="12"/>
      <c r="U32" s="12"/>
      <c r="V32" s="12"/>
    </row>
    <row r="33" spans="1:22" ht="15.75" thickBot="1" x14ac:dyDescent="0.3">
      <c r="A33" s="78"/>
      <c r="B33" s="85">
        <f>SUM(B28:B32)</f>
        <v>115</v>
      </c>
      <c r="C33" s="86">
        <f t="shared" ref="C33:G33" si="23">SUM(C28:C32)</f>
        <v>112</v>
      </c>
      <c r="D33" s="86">
        <f t="shared" si="23"/>
        <v>112.00000000000001</v>
      </c>
      <c r="E33" s="86">
        <f t="shared" si="23"/>
        <v>109</v>
      </c>
      <c r="F33" s="86">
        <f t="shared" si="23"/>
        <v>106.00000000000003</v>
      </c>
      <c r="G33" s="86">
        <f t="shared" si="23"/>
        <v>103.00000000000003</v>
      </c>
      <c r="H33" s="57"/>
      <c r="I33" s="85">
        <f>SUM(I28:I32)</f>
        <v>45</v>
      </c>
      <c r="J33" s="86">
        <f t="shared" ref="J33:N33" si="24">SUM(J28:J32)</f>
        <v>44</v>
      </c>
      <c r="K33" s="86">
        <f t="shared" si="24"/>
        <v>45.000000000000007</v>
      </c>
      <c r="L33" s="86">
        <f t="shared" si="24"/>
        <v>44.000000000000007</v>
      </c>
      <c r="M33" s="86">
        <f t="shared" si="24"/>
        <v>43.000000000000007</v>
      </c>
      <c r="N33" s="86">
        <f t="shared" si="24"/>
        <v>42.000000000000007</v>
      </c>
      <c r="O33" s="57"/>
      <c r="P33" s="12"/>
      <c r="Q33" s="12"/>
      <c r="R33" s="12"/>
      <c r="S33" s="12"/>
      <c r="T33" s="12"/>
      <c r="U33" s="12"/>
      <c r="V33" s="12"/>
    </row>
    <row r="34" spans="1:22" x14ac:dyDescent="0.25">
      <c r="A34" s="7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x14ac:dyDescent="0.25">
      <c r="A35" s="9" t="s">
        <v>123</v>
      </c>
      <c r="B35" s="3">
        <f>B23+B24+I23++I24</f>
        <v>145</v>
      </c>
      <c r="C35" s="3">
        <f t="shared" ref="C35:G35" si="25">C23+C24+J23++J24</f>
        <v>149</v>
      </c>
      <c r="D35" s="3">
        <f t="shared" si="25"/>
        <v>153</v>
      </c>
      <c r="E35" s="3">
        <f t="shared" si="25"/>
        <v>157</v>
      </c>
      <c r="F35" s="3">
        <f t="shared" si="25"/>
        <v>165</v>
      </c>
      <c r="G35" s="3">
        <f t="shared" si="25"/>
        <v>165</v>
      </c>
      <c r="H35" s="96" t="s">
        <v>124</v>
      </c>
      <c r="I35" s="95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1:22" x14ac:dyDescent="0.25">
      <c r="A36" s="9" t="s">
        <v>125</v>
      </c>
      <c r="B36" s="3">
        <f>B23+$H$36*I23</f>
        <v>126</v>
      </c>
      <c r="C36" s="3">
        <f t="shared" ref="C36:G36" si="26">C23+$H$36*J23</f>
        <v>124.4</v>
      </c>
      <c r="D36" s="3">
        <f t="shared" si="26"/>
        <v>122.8</v>
      </c>
      <c r="E36" s="3">
        <f t="shared" si="26"/>
        <v>121.2</v>
      </c>
      <c r="F36" s="3">
        <f t="shared" si="26"/>
        <v>123.6</v>
      </c>
      <c r="G36" s="3">
        <f t="shared" si="26"/>
        <v>118</v>
      </c>
      <c r="H36" s="2">
        <v>0.3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x14ac:dyDescent="0.25">
      <c r="A37" s="78"/>
      <c r="B37" s="12"/>
      <c r="C37" s="12"/>
      <c r="D37" s="12"/>
      <c r="E37" s="12"/>
      <c r="F37" s="12"/>
      <c r="G37" s="12"/>
      <c r="H37" s="27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</row>
    <row r="38" spans="1:22" x14ac:dyDescent="0.25">
      <c r="A38" s="78"/>
      <c r="B38" s="12"/>
      <c r="C38" s="12"/>
      <c r="D38" s="12"/>
      <c r="E38" s="106" t="s">
        <v>62</v>
      </c>
      <c r="F38" s="12"/>
      <c r="G38" s="7"/>
      <c r="H38" s="11" t="s">
        <v>44</v>
      </c>
      <c r="I38" s="7"/>
      <c r="J38" s="12"/>
      <c r="K38" s="12"/>
      <c r="L38" s="127" t="s">
        <v>48</v>
      </c>
      <c r="M38" s="12"/>
      <c r="N38" s="7"/>
      <c r="O38" s="11" t="s">
        <v>44</v>
      </c>
      <c r="P38" s="7"/>
      <c r="Q38" s="12"/>
      <c r="R38" s="12"/>
      <c r="S38" s="12"/>
      <c r="T38" s="12"/>
      <c r="U38" s="12"/>
      <c r="V38" s="12"/>
    </row>
    <row r="39" spans="1:22" x14ac:dyDescent="0.25">
      <c r="A39" s="19" t="s">
        <v>26</v>
      </c>
      <c r="B39" s="106">
        <f>Summary!$B$29+1</f>
        <v>2022</v>
      </c>
      <c r="C39" s="106">
        <f>B39+1</f>
        <v>2023</v>
      </c>
      <c r="D39" s="106">
        <f t="shared" ref="D39:F39" si="27">C39+1</f>
        <v>2024</v>
      </c>
      <c r="E39" s="106">
        <f t="shared" si="27"/>
        <v>2025</v>
      </c>
      <c r="F39" s="106">
        <f t="shared" si="27"/>
        <v>2026</v>
      </c>
      <c r="G39" s="106">
        <f>F39+1</f>
        <v>2027</v>
      </c>
      <c r="H39" s="33"/>
      <c r="I39" s="106">
        <f>Summary!$B$29+1</f>
        <v>2022</v>
      </c>
      <c r="J39" s="106">
        <f>I39+1</f>
        <v>2023</v>
      </c>
      <c r="K39" s="106">
        <f t="shared" ref="K39" si="28">J39+1</f>
        <v>2024</v>
      </c>
      <c r="L39" s="106">
        <f t="shared" ref="L39" si="29">K39+1</f>
        <v>2025</v>
      </c>
      <c r="M39" s="106">
        <f t="shared" ref="M39" si="30">L39+1</f>
        <v>2026</v>
      </c>
      <c r="N39" s="106">
        <f>M39+1</f>
        <v>2027</v>
      </c>
      <c r="O39" s="33"/>
      <c r="P39" s="12"/>
      <c r="Q39" s="12"/>
      <c r="R39" s="12"/>
      <c r="S39" s="12"/>
      <c r="T39" s="12"/>
      <c r="U39" s="12"/>
      <c r="V39" s="12"/>
    </row>
    <row r="40" spans="1:22" x14ac:dyDescent="0.25">
      <c r="A40" s="9" t="str">
        <f>Summary!$E12</f>
        <v>Instruction</v>
      </c>
      <c r="B40" s="5">
        <f>C3</f>
        <v>90000</v>
      </c>
      <c r="C40" s="5">
        <f t="shared" ref="C40:G41" si="31">B40*(1+$P$3+$H$40)</f>
        <v>92700</v>
      </c>
      <c r="D40" s="5">
        <f t="shared" si="31"/>
        <v>95481</v>
      </c>
      <c r="E40" s="5">
        <f t="shared" si="31"/>
        <v>98345.430000000008</v>
      </c>
      <c r="F40" s="5">
        <f t="shared" si="31"/>
        <v>101295.79290000001</v>
      </c>
      <c r="G40" s="5">
        <f t="shared" si="31"/>
        <v>104334.66668700002</v>
      </c>
      <c r="H40" s="114">
        <f>Summary!B12</f>
        <v>0.01</v>
      </c>
      <c r="I40" s="5">
        <f>J3</f>
        <v>15000</v>
      </c>
      <c r="J40" s="5">
        <f t="shared" ref="J40:N41" si="32">I40*(1+$P$3+$O$40)</f>
        <v>15450</v>
      </c>
      <c r="K40" s="5">
        <f t="shared" si="32"/>
        <v>15913.5</v>
      </c>
      <c r="L40" s="5">
        <f t="shared" si="32"/>
        <v>16390.904999999999</v>
      </c>
      <c r="M40" s="5">
        <f t="shared" si="32"/>
        <v>16882.632149999998</v>
      </c>
      <c r="N40" s="5">
        <f t="shared" si="32"/>
        <v>17389.1111145</v>
      </c>
      <c r="O40" s="114">
        <f>Summary!B14</f>
        <v>0.01</v>
      </c>
      <c r="P40" s="12"/>
      <c r="Q40" s="12"/>
      <c r="R40" s="12"/>
      <c r="S40" s="12"/>
      <c r="T40" s="12"/>
      <c r="U40" s="12"/>
      <c r="V40" s="12"/>
    </row>
    <row r="41" spans="1:22" x14ac:dyDescent="0.25">
      <c r="A41" s="9" t="str">
        <f>Summary!$E13</f>
        <v>Academic Support</v>
      </c>
      <c r="B41" s="5">
        <f>C4</f>
        <v>90000</v>
      </c>
      <c r="C41" s="5">
        <f t="shared" si="31"/>
        <v>92700</v>
      </c>
      <c r="D41" s="5">
        <f t="shared" si="31"/>
        <v>95481</v>
      </c>
      <c r="E41" s="5">
        <f t="shared" si="31"/>
        <v>98345.430000000008</v>
      </c>
      <c r="F41" s="5">
        <f t="shared" si="31"/>
        <v>101295.79290000001</v>
      </c>
      <c r="G41" s="5">
        <f t="shared" si="31"/>
        <v>104334.66668700002</v>
      </c>
      <c r="H41" s="12"/>
      <c r="I41" s="5">
        <f>J4</f>
        <v>15000</v>
      </c>
      <c r="J41" s="5">
        <f t="shared" si="32"/>
        <v>15450</v>
      </c>
      <c r="K41" s="5">
        <f t="shared" si="32"/>
        <v>15913.5</v>
      </c>
      <c r="L41" s="5">
        <f t="shared" si="32"/>
        <v>16390.904999999999</v>
      </c>
      <c r="M41" s="5">
        <f t="shared" si="32"/>
        <v>16882.632149999998</v>
      </c>
      <c r="N41" s="5">
        <f t="shared" si="32"/>
        <v>17389.1111145</v>
      </c>
      <c r="O41" s="12"/>
      <c r="P41" s="12"/>
      <c r="Q41" s="12"/>
      <c r="R41" s="12"/>
      <c r="S41" s="12"/>
      <c r="T41" s="12"/>
      <c r="U41" s="12"/>
      <c r="V41" s="12"/>
    </row>
    <row r="42" spans="1:22" x14ac:dyDescent="0.25">
      <c r="A42" s="78"/>
      <c r="B42" s="12"/>
      <c r="C42" s="12"/>
      <c r="D42" s="12"/>
      <c r="E42" s="12"/>
      <c r="F42" s="12"/>
      <c r="G42" s="7"/>
      <c r="H42" s="11" t="s">
        <v>44</v>
      </c>
      <c r="I42" s="7"/>
      <c r="J42" s="12"/>
      <c r="K42" s="12"/>
      <c r="L42" s="12"/>
      <c r="M42" s="12"/>
      <c r="N42" s="7"/>
      <c r="O42" s="11" t="s">
        <v>44</v>
      </c>
      <c r="P42" s="7"/>
      <c r="Q42" s="12"/>
      <c r="R42" s="12"/>
      <c r="S42" s="12"/>
      <c r="T42" s="12"/>
      <c r="U42" s="12"/>
      <c r="V42" s="12"/>
    </row>
    <row r="43" spans="1:22" x14ac:dyDescent="0.25">
      <c r="A43" s="19" t="s">
        <v>27</v>
      </c>
      <c r="B43" s="106">
        <f>Summary!$B$29+1</f>
        <v>2022</v>
      </c>
      <c r="C43" s="106">
        <f>B43+1</f>
        <v>2023</v>
      </c>
      <c r="D43" s="106">
        <f t="shared" ref="D43:F43" si="33">C43+1</f>
        <v>2024</v>
      </c>
      <c r="E43" s="106">
        <f t="shared" si="33"/>
        <v>2025</v>
      </c>
      <c r="F43" s="106">
        <f t="shared" si="33"/>
        <v>2026</v>
      </c>
      <c r="G43" s="106">
        <f>F43+1</f>
        <v>2027</v>
      </c>
      <c r="H43" s="71"/>
      <c r="I43" s="106">
        <f>Summary!$B$29+1</f>
        <v>2022</v>
      </c>
      <c r="J43" s="106">
        <f>I43+1</f>
        <v>2023</v>
      </c>
      <c r="K43" s="106">
        <f t="shared" ref="K43" si="34">J43+1</f>
        <v>2024</v>
      </c>
      <c r="L43" s="106">
        <f t="shared" ref="L43" si="35">K43+1</f>
        <v>2025</v>
      </c>
      <c r="M43" s="106">
        <f t="shared" ref="M43" si="36">L43+1</f>
        <v>2026</v>
      </c>
      <c r="N43" s="106">
        <f>M43+1</f>
        <v>2027</v>
      </c>
      <c r="O43" s="71"/>
      <c r="P43" s="12"/>
      <c r="Q43" s="12"/>
      <c r="R43" s="12"/>
      <c r="S43" s="12"/>
      <c r="T43" s="12"/>
      <c r="U43" s="12"/>
      <c r="V43" s="12"/>
    </row>
    <row r="44" spans="1:22" x14ac:dyDescent="0.25">
      <c r="A44" s="9" t="str">
        <f>Summary!$E12</f>
        <v>Instruction</v>
      </c>
      <c r="B44" s="5">
        <f>F3</f>
        <v>40000</v>
      </c>
      <c r="C44" s="5">
        <f t="shared" ref="C44:G48" si="37">B44*(1+$H$44+$P$3)</f>
        <v>40800</v>
      </c>
      <c r="D44" s="5">
        <f t="shared" si="37"/>
        <v>41616</v>
      </c>
      <c r="E44" s="5">
        <f t="shared" si="37"/>
        <v>42448.32</v>
      </c>
      <c r="F44" s="5">
        <f t="shared" si="37"/>
        <v>43297.286399999997</v>
      </c>
      <c r="G44" s="5">
        <f t="shared" si="37"/>
        <v>44163.232127999996</v>
      </c>
      <c r="H44" s="114">
        <f>Summary!B13</f>
        <v>0</v>
      </c>
      <c r="I44" s="5">
        <f>M3</f>
        <v>18000</v>
      </c>
      <c r="J44" s="5">
        <f t="shared" ref="J44:N48" si="38">I44*(1+$O$44+$P$3)</f>
        <v>18540</v>
      </c>
      <c r="K44" s="5">
        <f t="shared" si="38"/>
        <v>19096.2</v>
      </c>
      <c r="L44" s="5">
        <f t="shared" si="38"/>
        <v>19669.086000000003</v>
      </c>
      <c r="M44" s="5">
        <f t="shared" si="38"/>
        <v>20259.158580000003</v>
      </c>
      <c r="N44" s="5">
        <f t="shared" si="38"/>
        <v>20866.933337400005</v>
      </c>
      <c r="O44" s="114">
        <f>Summary!B15</f>
        <v>0.01</v>
      </c>
      <c r="P44" s="12"/>
      <c r="Q44" s="12"/>
      <c r="R44" s="12"/>
      <c r="S44" s="12"/>
      <c r="T44" s="12"/>
      <c r="U44" s="12"/>
      <c r="V44" s="12"/>
    </row>
    <row r="45" spans="1:22" x14ac:dyDescent="0.25">
      <c r="A45" s="9" t="str">
        <f>Summary!$E13</f>
        <v>Academic Support</v>
      </c>
      <c r="B45" s="5">
        <f>F4</f>
        <v>40000</v>
      </c>
      <c r="C45" s="5">
        <f t="shared" si="37"/>
        <v>40800</v>
      </c>
      <c r="D45" s="5">
        <f t="shared" si="37"/>
        <v>41616</v>
      </c>
      <c r="E45" s="5">
        <f t="shared" si="37"/>
        <v>42448.32</v>
      </c>
      <c r="F45" s="5">
        <f t="shared" si="37"/>
        <v>43297.286399999997</v>
      </c>
      <c r="G45" s="5">
        <f t="shared" si="37"/>
        <v>44163.232127999996</v>
      </c>
      <c r="H45" s="12"/>
      <c r="I45" s="5">
        <f>M4</f>
        <v>18000</v>
      </c>
      <c r="J45" s="5">
        <f t="shared" si="38"/>
        <v>18540</v>
      </c>
      <c r="K45" s="5">
        <f t="shared" si="38"/>
        <v>19096.2</v>
      </c>
      <c r="L45" s="5">
        <f t="shared" si="38"/>
        <v>19669.086000000003</v>
      </c>
      <c r="M45" s="5">
        <f t="shared" si="38"/>
        <v>20259.158580000003</v>
      </c>
      <c r="N45" s="5">
        <f t="shared" si="38"/>
        <v>20866.933337400005</v>
      </c>
      <c r="O45" s="12"/>
      <c r="P45" s="12"/>
      <c r="Q45" s="12"/>
      <c r="R45" s="12"/>
      <c r="S45" s="12"/>
      <c r="T45" s="12"/>
      <c r="U45" s="12"/>
      <c r="V45" s="12"/>
    </row>
    <row r="46" spans="1:22" x14ac:dyDescent="0.25">
      <c r="A46" s="9" t="str">
        <f>Summary!$E14</f>
        <v>Student Affairs</v>
      </c>
      <c r="B46" s="5">
        <f>F5</f>
        <v>40000</v>
      </c>
      <c r="C46" s="5">
        <f t="shared" si="37"/>
        <v>40800</v>
      </c>
      <c r="D46" s="5">
        <f t="shared" si="37"/>
        <v>41616</v>
      </c>
      <c r="E46" s="5">
        <f t="shared" si="37"/>
        <v>42448.32</v>
      </c>
      <c r="F46" s="5">
        <f t="shared" si="37"/>
        <v>43297.286399999997</v>
      </c>
      <c r="G46" s="5">
        <f t="shared" si="37"/>
        <v>44163.232127999996</v>
      </c>
      <c r="H46" s="12"/>
      <c r="I46" s="5">
        <f>M5</f>
        <v>18000</v>
      </c>
      <c r="J46" s="5">
        <f t="shared" si="38"/>
        <v>18540</v>
      </c>
      <c r="K46" s="5">
        <f t="shared" si="38"/>
        <v>19096.2</v>
      </c>
      <c r="L46" s="5">
        <f t="shared" si="38"/>
        <v>19669.086000000003</v>
      </c>
      <c r="M46" s="5">
        <f t="shared" si="38"/>
        <v>20259.158580000003</v>
      </c>
      <c r="N46" s="5">
        <f t="shared" si="38"/>
        <v>20866.933337400005</v>
      </c>
      <c r="O46" s="12"/>
      <c r="P46" s="12"/>
      <c r="Q46" s="12"/>
      <c r="R46" s="12"/>
      <c r="S46" s="12"/>
      <c r="T46" s="12"/>
      <c r="U46" s="12"/>
      <c r="V46" s="12"/>
    </row>
    <row r="47" spans="1:22" x14ac:dyDescent="0.25">
      <c r="A47" s="9" t="str">
        <f>Summary!$E15</f>
        <v>Administrative Support</v>
      </c>
      <c r="B47" s="5">
        <f>F6</f>
        <v>40000</v>
      </c>
      <c r="C47" s="5">
        <f t="shared" si="37"/>
        <v>40800</v>
      </c>
      <c r="D47" s="5">
        <f t="shared" si="37"/>
        <v>41616</v>
      </c>
      <c r="E47" s="5">
        <f t="shared" si="37"/>
        <v>42448.32</v>
      </c>
      <c r="F47" s="5">
        <f t="shared" si="37"/>
        <v>43297.286399999997</v>
      </c>
      <c r="G47" s="5">
        <f t="shared" si="37"/>
        <v>44163.232127999996</v>
      </c>
      <c r="H47" s="12"/>
      <c r="I47" s="5">
        <f>M6</f>
        <v>18000</v>
      </c>
      <c r="J47" s="5">
        <f t="shared" si="38"/>
        <v>18540</v>
      </c>
      <c r="K47" s="5">
        <f t="shared" si="38"/>
        <v>19096.2</v>
      </c>
      <c r="L47" s="5">
        <f t="shared" si="38"/>
        <v>19669.086000000003</v>
      </c>
      <c r="M47" s="5">
        <f t="shared" si="38"/>
        <v>20259.158580000003</v>
      </c>
      <c r="N47" s="5">
        <f t="shared" si="38"/>
        <v>20866.933337400005</v>
      </c>
      <c r="O47" s="12"/>
      <c r="P47" s="12"/>
      <c r="Q47" s="12"/>
      <c r="R47" s="12"/>
      <c r="S47" s="12"/>
      <c r="T47" s="12"/>
      <c r="U47" s="12"/>
      <c r="V47" s="12"/>
    </row>
    <row r="48" spans="1:22" x14ac:dyDescent="0.25">
      <c r="A48" s="9" t="str">
        <f>Summary!$E16</f>
        <v>Plant Operations</v>
      </c>
      <c r="B48" s="5">
        <f>F7</f>
        <v>40000</v>
      </c>
      <c r="C48" s="5">
        <f t="shared" si="37"/>
        <v>40800</v>
      </c>
      <c r="D48" s="5">
        <f t="shared" si="37"/>
        <v>41616</v>
      </c>
      <c r="E48" s="5">
        <f t="shared" si="37"/>
        <v>42448.32</v>
      </c>
      <c r="F48" s="5">
        <f t="shared" si="37"/>
        <v>43297.286399999997</v>
      </c>
      <c r="G48" s="5">
        <f t="shared" si="37"/>
        <v>44163.232127999996</v>
      </c>
      <c r="H48" s="12"/>
      <c r="I48" s="5">
        <f>M7</f>
        <v>18000</v>
      </c>
      <c r="J48" s="5">
        <f t="shared" si="38"/>
        <v>18540</v>
      </c>
      <c r="K48" s="5">
        <f t="shared" si="38"/>
        <v>19096.2</v>
      </c>
      <c r="L48" s="5">
        <f t="shared" si="38"/>
        <v>19669.086000000003</v>
      </c>
      <c r="M48" s="5">
        <f t="shared" si="38"/>
        <v>20259.158580000003</v>
      </c>
      <c r="N48" s="5">
        <f t="shared" si="38"/>
        <v>20866.933337400005</v>
      </c>
      <c r="O48" s="12"/>
      <c r="P48" s="12"/>
      <c r="Q48" s="12"/>
      <c r="R48" s="12"/>
      <c r="S48" s="12"/>
      <c r="T48" s="12"/>
      <c r="U48" s="12"/>
      <c r="V48" s="12"/>
    </row>
    <row r="49" spans="1:22" x14ac:dyDescent="0.25">
      <c r="A49" s="78"/>
      <c r="B49" s="15"/>
      <c r="C49" s="15"/>
      <c r="D49" s="15"/>
      <c r="E49" s="15"/>
      <c r="F49" s="15"/>
      <c r="G49" s="15"/>
      <c r="H49" s="12"/>
      <c r="I49" s="15"/>
      <c r="J49" s="15"/>
      <c r="K49" s="15"/>
      <c r="L49" s="15"/>
      <c r="M49" s="15"/>
      <c r="N49" s="15"/>
      <c r="O49" s="12"/>
      <c r="P49" s="12"/>
      <c r="Q49" s="12"/>
      <c r="R49" s="12"/>
      <c r="S49" s="12"/>
      <c r="T49" s="12"/>
      <c r="U49" s="12"/>
      <c r="V49" s="12"/>
    </row>
    <row r="50" spans="1:22" x14ac:dyDescent="0.25">
      <c r="A50" s="78"/>
      <c r="B50" s="12"/>
      <c r="C50" s="12"/>
      <c r="D50" s="12"/>
      <c r="E50" s="106" t="s">
        <v>62</v>
      </c>
      <c r="F50" s="12"/>
      <c r="G50" s="12"/>
      <c r="H50" s="12"/>
      <c r="I50" s="12"/>
      <c r="J50" s="12"/>
      <c r="K50" s="12"/>
      <c r="L50" s="127" t="s">
        <v>48</v>
      </c>
      <c r="M50" s="12"/>
      <c r="N50" s="12"/>
      <c r="O50" s="12"/>
      <c r="P50" s="12"/>
      <c r="Q50" s="12"/>
      <c r="R50" s="12"/>
      <c r="S50" s="12"/>
      <c r="T50" s="12"/>
      <c r="U50" s="12"/>
      <c r="V50" s="12"/>
    </row>
    <row r="51" spans="1:22" x14ac:dyDescent="0.25">
      <c r="A51" s="19" t="s">
        <v>72</v>
      </c>
      <c r="B51" s="106">
        <f>Summary!$B$29+1</f>
        <v>2022</v>
      </c>
      <c r="C51" s="106">
        <f>B51+1</f>
        <v>2023</v>
      </c>
      <c r="D51" s="106">
        <f t="shared" ref="D51:F51" si="39">C51+1</f>
        <v>2024</v>
      </c>
      <c r="E51" s="106">
        <f t="shared" si="39"/>
        <v>2025</v>
      </c>
      <c r="F51" s="106">
        <f t="shared" si="39"/>
        <v>2026</v>
      </c>
      <c r="G51" s="106">
        <f>F51+1</f>
        <v>2027</v>
      </c>
      <c r="H51" s="12"/>
      <c r="I51" s="106">
        <f>Summary!$B$29+1</f>
        <v>2022</v>
      </c>
      <c r="J51" s="106">
        <f>I51+1</f>
        <v>2023</v>
      </c>
      <c r="K51" s="106">
        <f t="shared" ref="K51" si="40">J51+1</f>
        <v>2024</v>
      </c>
      <c r="L51" s="106">
        <f t="shared" ref="L51" si="41">K51+1</f>
        <v>2025</v>
      </c>
      <c r="M51" s="106">
        <f t="shared" ref="M51" si="42">L51+1</f>
        <v>2026</v>
      </c>
      <c r="N51" s="106">
        <f>M51+1</f>
        <v>2027</v>
      </c>
      <c r="O51" s="12"/>
      <c r="P51" s="12"/>
      <c r="Q51" s="12"/>
      <c r="R51" s="12"/>
      <c r="S51" s="12"/>
      <c r="T51" s="12"/>
      <c r="U51" s="12"/>
      <c r="V51" s="12"/>
    </row>
    <row r="52" spans="1:22" x14ac:dyDescent="0.25">
      <c r="A52" s="9" t="str">
        <f>Summary!$E12</f>
        <v>Instruction</v>
      </c>
      <c r="B52" s="5">
        <f t="shared" ref="B52:G52" si="43">B23*B40+B28*B44</f>
        <v>11600000</v>
      </c>
      <c r="C52" s="5">
        <f t="shared" si="43"/>
        <v>11547913.043478262</v>
      </c>
      <c r="D52" s="5">
        <f t="shared" si="43"/>
        <v>11482766.608695652</v>
      </c>
      <c r="E52" s="5">
        <f t="shared" si="43"/>
        <v>11404425.213167703</v>
      </c>
      <c r="F52" s="5">
        <f t="shared" si="43"/>
        <v>11716741.979575157</v>
      </c>
      <c r="G52" s="5">
        <f t="shared" si="43"/>
        <v>11203374.443701642</v>
      </c>
      <c r="H52" s="12"/>
      <c r="I52" s="5">
        <f>I23*I40+I28*I44</f>
        <v>390000</v>
      </c>
      <c r="J52" s="5">
        <f t="shared" ref="J52:N52" si="44">J23*J40+J28*J44</f>
        <v>523240</v>
      </c>
      <c r="K52" s="5">
        <f t="shared" si="44"/>
        <v>664123.4</v>
      </c>
      <c r="L52" s="5">
        <f t="shared" si="44"/>
        <v>813086.0192888889</v>
      </c>
      <c r="M52" s="5">
        <f t="shared" si="44"/>
        <v>970388.68467511097</v>
      </c>
      <c r="N52" s="5">
        <f t="shared" si="44"/>
        <v>1136397.7325671467</v>
      </c>
      <c r="O52" s="12"/>
      <c r="P52" s="12"/>
      <c r="Q52" s="12"/>
      <c r="R52" s="12"/>
      <c r="S52" s="12"/>
      <c r="T52" s="12"/>
      <c r="U52" s="12"/>
      <c r="V52" s="12"/>
    </row>
    <row r="53" spans="1:22" x14ac:dyDescent="0.25">
      <c r="A53" s="9" t="str">
        <f>Summary!$E13</f>
        <v>Academic Support</v>
      </c>
      <c r="B53" s="5">
        <f>B24*B41+B29*B45</f>
        <v>1450000</v>
      </c>
      <c r="C53" s="5">
        <f t="shared" ref="C53:G53" si="45">C24*C41+C29*C45</f>
        <v>1456891.3043478262</v>
      </c>
      <c r="D53" s="5">
        <f t="shared" si="45"/>
        <v>1463523.2608695654</v>
      </c>
      <c r="E53" s="5">
        <f t="shared" si="45"/>
        <v>1470625.6164596276</v>
      </c>
      <c r="F53" s="5">
        <f t="shared" si="45"/>
        <v>1477474.3974689443</v>
      </c>
      <c r="G53" s="5">
        <f t="shared" si="45"/>
        <v>1484058.0521870498</v>
      </c>
      <c r="H53" s="12"/>
      <c r="I53" s="5">
        <f>I24*I41+I29*I45</f>
        <v>180000</v>
      </c>
      <c r="J53" s="5">
        <f t="shared" ref="J53:N53" si="46">J24*J41+J29*J45</f>
        <v>181280.00000000003</v>
      </c>
      <c r="K53" s="5">
        <f t="shared" si="46"/>
        <v>182474.80000000005</v>
      </c>
      <c r="L53" s="5">
        <f t="shared" si="46"/>
        <v>183772.39857777784</v>
      </c>
      <c r="M53" s="5">
        <f t="shared" si="46"/>
        <v>184983.62575022227</v>
      </c>
      <c r="N53" s="5">
        <f t="shared" si="46"/>
        <v>186102.13139429339</v>
      </c>
      <c r="O53" s="12"/>
      <c r="P53" s="12"/>
      <c r="Q53" s="12"/>
      <c r="R53" s="12"/>
      <c r="S53" s="12"/>
      <c r="T53" s="12"/>
      <c r="U53" s="12"/>
      <c r="V53" s="12"/>
    </row>
    <row r="54" spans="1:22" x14ac:dyDescent="0.25">
      <c r="A54" s="9" t="str">
        <f>Summary!$E14</f>
        <v>Student Affairs</v>
      </c>
      <c r="B54" s="5">
        <f t="shared" ref="B54:G56" si="47">B30*B46</f>
        <v>1200000</v>
      </c>
      <c r="C54" s="5">
        <f t="shared" si="47"/>
        <v>1192069.5652173914</v>
      </c>
      <c r="D54" s="5">
        <f t="shared" si="47"/>
        <v>1308189.9130434785</v>
      </c>
      <c r="E54" s="5">
        <f t="shared" si="47"/>
        <v>1298612.0940372671</v>
      </c>
      <c r="F54" s="5">
        <f t="shared" si="47"/>
        <v>1288127.8863055902</v>
      </c>
      <c r="G54" s="5">
        <f t="shared" si="47"/>
        <v>1276704.8654270309</v>
      </c>
      <c r="H54" s="12"/>
      <c r="I54" s="5">
        <f t="shared" ref="I54:N56" si="48">I30*I46</f>
        <v>360000</v>
      </c>
      <c r="J54" s="5">
        <f t="shared" si="48"/>
        <v>362560.00000000006</v>
      </c>
      <c r="K54" s="5">
        <f t="shared" si="48"/>
        <v>364949.60000000009</v>
      </c>
      <c r="L54" s="5">
        <f t="shared" si="48"/>
        <v>367544.79715555569</v>
      </c>
      <c r="M54" s="5">
        <f t="shared" si="48"/>
        <v>369967.25150044454</v>
      </c>
      <c r="N54" s="5">
        <f t="shared" si="48"/>
        <v>372204.26278858678</v>
      </c>
      <c r="O54" s="12"/>
      <c r="P54" s="12"/>
      <c r="Q54" s="12"/>
      <c r="R54" s="12"/>
      <c r="S54" s="12"/>
      <c r="T54" s="12"/>
      <c r="U54" s="12"/>
      <c r="V54" s="12"/>
    </row>
    <row r="55" spans="1:22" x14ac:dyDescent="0.25">
      <c r="A55" s="9" t="str">
        <f>Summary!$E15</f>
        <v>Administrative Support</v>
      </c>
      <c r="B55" s="5">
        <f t="shared" si="47"/>
        <v>800000</v>
      </c>
      <c r="C55" s="5">
        <f t="shared" si="47"/>
        <v>794713.04347826086</v>
      </c>
      <c r="D55" s="5">
        <f t="shared" si="47"/>
        <v>788894.60869565222</v>
      </c>
      <c r="E55" s="5">
        <f t="shared" si="47"/>
        <v>783118.77316770202</v>
      </c>
      <c r="F55" s="5">
        <f t="shared" si="47"/>
        <v>776796.3463751555</v>
      </c>
      <c r="G55" s="5">
        <f t="shared" si="47"/>
        <v>769907.77500163997</v>
      </c>
      <c r="H55" s="12"/>
      <c r="I55" s="5">
        <f t="shared" si="48"/>
        <v>90000</v>
      </c>
      <c r="J55" s="5">
        <f t="shared" si="48"/>
        <v>90640.000000000015</v>
      </c>
      <c r="K55" s="5">
        <f t="shared" si="48"/>
        <v>91237.400000000023</v>
      </c>
      <c r="L55" s="5">
        <f t="shared" si="48"/>
        <v>91886.199288888922</v>
      </c>
      <c r="M55" s="5">
        <f t="shared" si="48"/>
        <v>92491.812875111136</v>
      </c>
      <c r="N55" s="5">
        <f t="shared" si="48"/>
        <v>93051.065697146696</v>
      </c>
      <c r="O55" s="12"/>
      <c r="P55" s="12"/>
      <c r="Q55" s="12"/>
      <c r="R55" s="12"/>
      <c r="S55" s="12"/>
      <c r="T55" s="12"/>
      <c r="U55" s="12"/>
      <c r="V55" s="12"/>
    </row>
    <row r="56" spans="1:22" x14ac:dyDescent="0.25">
      <c r="A56" s="9" t="str">
        <f>Summary!$E16</f>
        <v>Plant Operations</v>
      </c>
      <c r="B56" s="5">
        <f t="shared" si="47"/>
        <v>800000</v>
      </c>
      <c r="C56" s="5">
        <f t="shared" si="47"/>
        <v>794713.04347826086</v>
      </c>
      <c r="D56" s="5">
        <f t="shared" si="47"/>
        <v>788894.60869565222</v>
      </c>
      <c r="E56" s="5">
        <f t="shared" si="47"/>
        <v>783118.77316770202</v>
      </c>
      <c r="F56" s="5">
        <f t="shared" si="47"/>
        <v>776796.3463751555</v>
      </c>
      <c r="G56" s="5">
        <f t="shared" si="47"/>
        <v>769907.77500163997</v>
      </c>
      <c r="H56" s="12"/>
      <c r="I56" s="5">
        <f t="shared" si="48"/>
        <v>90000</v>
      </c>
      <c r="J56" s="5">
        <f t="shared" si="48"/>
        <v>90640.000000000015</v>
      </c>
      <c r="K56" s="5">
        <f t="shared" si="48"/>
        <v>129429.80000000002</v>
      </c>
      <c r="L56" s="5">
        <f t="shared" si="48"/>
        <v>130350.18968888893</v>
      </c>
      <c r="M56" s="5">
        <f t="shared" si="48"/>
        <v>131209.31593911114</v>
      </c>
      <c r="N56" s="5">
        <f t="shared" si="48"/>
        <v>132002.67459362673</v>
      </c>
      <c r="O56" s="12"/>
      <c r="P56" s="12"/>
      <c r="Q56" s="12"/>
      <c r="R56" s="12"/>
      <c r="S56" s="12"/>
      <c r="T56" s="12"/>
      <c r="U56" s="12"/>
      <c r="V56" s="12"/>
    </row>
    <row r="57" spans="1:22" x14ac:dyDescent="0.25">
      <c r="A57" s="78"/>
      <c r="B57" s="15"/>
      <c r="C57" s="15"/>
      <c r="D57" s="15"/>
      <c r="E57" s="15"/>
      <c r="F57" s="15"/>
      <c r="G57" s="15"/>
      <c r="H57" s="12"/>
      <c r="I57" s="15"/>
      <c r="J57" s="15"/>
      <c r="K57" s="15"/>
      <c r="L57" s="15"/>
      <c r="M57" s="15"/>
      <c r="N57" s="15"/>
      <c r="O57" s="12"/>
      <c r="P57" s="12"/>
      <c r="Q57" s="12"/>
      <c r="R57" s="12"/>
      <c r="S57" s="12"/>
      <c r="T57" s="12"/>
      <c r="U57" s="12"/>
      <c r="V57" s="12"/>
    </row>
    <row r="58" spans="1:22" x14ac:dyDescent="0.25">
      <c r="A58" s="78"/>
      <c r="B58" s="12"/>
      <c r="C58" s="12"/>
      <c r="D58" s="12"/>
      <c r="E58" s="106" t="s">
        <v>62</v>
      </c>
      <c r="F58" s="12"/>
      <c r="G58" s="7"/>
      <c r="H58" s="11" t="s">
        <v>40</v>
      </c>
      <c r="I58" s="7"/>
      <c r="J58" s="12"/>
      <c r="K58" s="12"/>
      <c r="L58" s="127" t="s">
        <v>48</v>
      </c>
      <c r="M58" s="12"/>
      <c r="N58" s="7"/>
      <c r="O58" s="11" t="s">
        <v>40</v>
      </c>
      <c r="P58" s="7"/>
      <c r="Q58" s="12"/>
      <c r="R58" s="12"/>
      <c r="S58" s="12"/>
      <c r="T58" s="12"/>
      <c r="U58" s="12"/>
      <c r="V58" s="12"/>
    </row>
    <row r="59" spans="1:22" x14ac:dyDescent="0.25">
      <c r="A59" s="19" t="s">
        <v>73</v>
      </c>
      <c r="B59" s="106">
        <f>Summary!$B$29+1</f>
        <v>2022</v>
      </c>
      <c r="C59" s="106">
        <f>B59+1</f>
        <v>2023</v>
      </c>
      <c r="D59" s="106">
        <f t="shared" ref="D59:G59" si="49">C59+1</f>
        <v>2024</v>
      </c>
      <c r="E59" s="106">
        <f t="shared" si="49"/>
        <v>2025</v>
      </c>
      <c r="F59" s="106">
        <f t="shared" si="49"/>
        <v>2026</v>
      </c>
      <c r="G59" s="106">
        <f t="shared" si="49"/>
        <v>2027</v>
      </c>
      <c r="H59" s="112">
        <f>Summary!B26</f>
        <v>0.02</v>
      </c>
      <c r="I59" s="106">
        <f>Summary!$B$29+1</f>
        <v>2022</v>
      </c>
      <c r="J59" s="106">
        <f>I59+1</f>
        <v>2023</v>
      </c>
      <c r="K59" s="106">
        <f t="shared" ref="K59" si="50">J59+1</f>
        <v>2024</v>
      </c>
      <c r="L59" s="106">
        <f t="shared" ref="L59" si="51">K59+1</f>
        <v>2025</v>
      </c>
      <c r="M59" s="106">
        <f t="shared" ref="M59" si="52">L59+1</f>
        <v>2026</v>
      </c>
      <c r="N59" s="106">
        <f t="shared" ref="N59" si="53">M59+1</f>
        <v>2027</v>
      </c>
      <c r="O59" s="112">
        <f>Summary!B27</f>
        <v>0</v>
      </c>
      <c r="P59" s="12"/>
      <c r="Q59" s="12"/>
      <c r="R59" s="12"/>
      <c r="S59" s="12"/>
      <c r="T59" s="12"/>
      <c r="U59" s="12"/>
      <c r="V59" s="12"/>
    </row>
    <row r="60" spans="1:22" x14ac:dyDescent="0.25">
      <c r="A60" s="9" t="s">
        <v>42</v>
      </c>
      <c r="B60" s="16">
        <f>D3</f>
        <v>0.45</v>
      </c>
      <c r="C60" s="14">
        <f>B60*(1+$H$59)</f>
        <v>0.45900000000000002</v>
      </c>
      <c r="D60" s="14">
        <f t="shared" ref="D60:G60" si="54">C60*(1+$H$59)</f>
        <v>0.46818000000000004</v>
      </c>
      <c r="E60" s="14">
        <f t="shared" si="54"/>
        <v>0.47754360000000007</v>
      </c>
      <c r="F60" s="14">
        <f t="shared" si="54"/>
        <v>0.48709447200000006</v>
      </c>
      <c r="G60" s="14">
        <f t="shared" si="54"/>
        <v>0.49683636144000004</v>
      </c>
      <c r="H60" s="12"/>
      <c r="I60" s="16">
        <f>K3</f>
        <v>0.1</v>
      </c>
      <c r="J60" s="14">
        <f>I60*(1+$O$59)</f>
        <v>0.1</v>
      </c>
      <c r="K60" s="14">
        <f t="shared" ref="K60:N60" si="55">J60*(1+$O$59)</f>
        <v>0.1</v>
      </c>
      <c r="L60" s="14">
        <f t="shared" si="55"/>
        <v>0.1</v>
      </c>
      <c r="M60" s="14">
        <f t="shared" si="55"/>
        <v>0.1</v>
      </c>
      <c r="N60" s="14">
        <f t="shared" si="55"/>
        <v>0.1</v>
      </c>
      <c r="O60" s="12"/>
      <c r="P60" s="12"/>
      <c r="Q60" s="12"/>
      <c r="R60" s="12"/>
      <c r="S60" s="12"/>
      <c r="T60" s="12"/>
      <c r="U60" s="12"/>
      <c r="V60" s="12"/>
    </row>
    <row r="61" spans="1:22" x14ac:dyDescent="0.25">
      <c r="A61" s="9" t="s">
        <v>43</v>
      </c>
      <c r="B61" s="16">
        <f>G3</f>
        <v>0.45</v>
      </c>
      <c r="C61" s="14">
        <f t="shared" ref="C61:G65" si="56">B61*(1+$H$59)</f>
        <v>0.45900000000000002</v>
      </c>
      <c r="D61" s="14">
        <f t="shared" si="56"/>
        <v>0.46818000000000004</v>
      </c>
      <c r="E61" s="14">
        <f t="shared" si="56"/>
        <v>0.47754360000000007</v>
      </c>
      <c r="F61" s="14">
        <f t="shared" si="56"/>
        <v>0.48709447200000006</v>
      </c>
      <c r="G61" s="14">
        <f t="shared" si="56"/>
        <v>0.49683636144000004</v>
      </c>
      <c r="H61" s="12"/>
      <c r="I61" s="16">
        <f>N3</f>
        <v>0.1</v>
      </c>
      <c r="J61" s="14">
        <f t="shared" ref="J61:N61" si="57">I61*(1+$O$59)</f>
        <v>0.1</v>
      </c>
      <c r="K61" s="14">
        <f t="shared" si="57"/>
        <v>0.1</v>
      </c>
      <c r="L61" s="14">
        <f t="shared" si="57"/>
        <v>0.1</v>
      </c>
      <c r="M61" s="14">
        <f t="shared" si="57"/>
        <v>0.1</v>
      </c>
      <c r="N61" s="14">
        <f t="shared" si="57"/>
        <v>0.1</v>
      </c>
      <c r="O61" s="12"/>
      <c r="P61" s="12"/>
      <c r="Q61" s="12"/>
      <c r="R61" s="12"/>
      <c r="S61" s="12"/>
      <c r="T61" s="12"/>
      <c r="U61" s="12"/>
      <c r="V61" s="12"/>
    </row>
    <row r="62" spans="1:22" x14ac:dyDescent="0.25">
      <c r="A62" s="9" t="str">
        <f>Summary!$E13</f>
        <v>Academic Support</v>
      </c>
      <c r="B62" s="16">
        <f>G4</f>
        <v>0.45</v>
      </c>
      <c r="C62" s="14">
        <f t="shared" si="56"/>
        <v>0.45900000000000002</v>
      </c>
      <c r="D62" s="14">
        <f t="shared" si="56"/>
        <v>0.46818000000000004</v>
      </c>
      <c r="E62" s="14">
        <f t="shared" si="56"/>
        <v>0.47754360000000007</v>
      </c>
      <c r="F62" s="14">
        <f t="shared" si="56"/>
        <v>0.48709447200000006</v>
      </c>
      <c r="G62" s="14">
        <f t="shared" si="56"/>
        <v>0.49683636144000004</v>
      </c>
      <c r="H62" s="12"/>
      <c r="I62" s="16">
        <f>N4</f>
        <v>0.1</v>
      </c>
      <c r="J62" s="14">
        <f t="shared" ref="J62:N62" si="58">I62*(1+$O$59)</f>
        <v>0.1</v>
      </c>
      <c r="K62" s="14">
        <f t="shared" si="58"/>
        <v>0.1</v>
      </c>
      <c r="L62" s="14">
        <f t="shared" si="58"/>
        <v>0.1</v>
      </c>
      <c r="M62" s="14">
        <f t="shared" si="58"/>
        <v>0.1</v>
      </c>
      <c r="N62" s="14">
        <f t="shared" si="58"/>
        <v>0.1</v>
      </c>
      <c r="O62" s="12"/>
      <c r="P62" s="12"/>
      <c r="Q62" s="12"/>
      <c r="R62" s="12"/>
      <c r="S62" s="12"/>
      <c r="T62" s="12"/>
      <c r="U62" s="12"/>
      <c r="V62" s="12"/>
    </row>
    <row r="63" spans="1:22" x14ac:dyDescent="0.25">
      <c r="A63" s="9" t="str">
        <f>Summary!$E14</f>
        <v>Student Affairs</v>
      </c>
      <c r="B63" s="16">
        <f>G5</f>
        <v>0.45</v>
      </c>
      <c r="C63" s="14">
        <f t="shared" si="56"/>
        <v>0.45900000000000002</v>
      </c>
      <c r="D63" s="14">
        <f t="shared" si="56"/>
        <v>0.46818000000000004</v>
      </c>
      <c r="E63" s="14">
        <f t="shared" si="56"/>
        <v>0.47754360000000007</v>
      </c>
      <c r="F63" s="14">
        <f t="shared" si="56"/>
        <v>0.48709447200000006</v>
      </c>
      <c r="G63" s="14">
        <f t="shared" si="56"/>
        <v>0.49683636144000004</v>
      </c>
      <c r="H63" s="12"/>
      <c r="I63" s="16">
        <f>N5</f>
        <v>0.1</v>
      </c>
      <c r="J63" s="14">
        <f t="shared" ref="J63:N63" si="59">I63*(1+$O$59)</f>
        <v>0.1</v>
      </c>
      <c r="K63" s="14">
        <f t="shared" si="59"/>
        <v>0.1</v>
      </c>
      <c r="L63" s="14">
        <f t="shared" si="59"/>
        <v>0.1</v>
      </c>
      <c r="M63" s="14">
        <f t="shared" si="59"/>
        <v>0.1</v>
      </c>
      <c r="N63" s="14">
        <f t="shared" si="59"/>
        <v>0.1</v>
      </c>
      <c r="O63" s="12"/>
      <c r="P63" s="12"/>
      <c r="Q63" s="12"/>
      <c r="R63" s="12"/>
      <c r="S63" s="12"/>
      <c r="T63" s="12"/>
      <c r="U63" s="12"/>
      <c r="V63" s="12"/>
    </row>
    <row r="64" spans="1:22" x14ac:dyDescent="0.25">
      <c r="A64" s="9" t="str">
        <f>Summary!$E15</f>
        <v>Administrative Support</v>
      </c>
      <c r="B64" s="16">
        <f>G6</f>
        <v>0.45</v>
      </c>
      <c r="C64" s="14">
        <f t="shared" si="56"/>
        <v>0.45900000000000002</v>
      </c>
      <c r="D64" s="14">
        <f t="shared" si="56"/>
        <v>0.46818000000000004</v>
      </c>
      <c r="E64" s="14">
        <f t="shared" si="56"/>
        <v>0.47754360000000007</v>
      </c>
      <c r="F64" s="14">
        <f t="shared" si="56"/>
        <v>0.48709447200000006</v>
      </c>
      <c r="G64" s="14">
        <f t="shared" si="56"/>
        <v>0.49683636144000004</v>
      </c>
      <c r="H64" s="12"/>
      <c r="I64" s="16">
        <f>N6</f>
        <v>0.1</v>
      </c>
      <c r="J64" s="14">
        <f t="shared" ref="J64:N64" si="60">I64*(1+$O$59)</f>
        <v>0.1</v>
      </c>
      <c r="K64" s="14">
        <f t="shared" si="60"/>
        <v>0.1</v>
      </c>
      <c r="L64" s="14">
        <f t="shared" si="60"/>
        <v>0.1</v>
      </c>
      <c r="M64" s="14">
        <f t="shared" si="60"/>
        <v>0.1</v>
      </c>
      <c r="N64" s="14">
        <f t="shared" si="60"/>
        <v>0.1</v>
      </c>
      <c r="O64" s="12"/>
      <c r="P64" s="12"/>
      <c r="Q64" s="12"/>
      <c r="R64" s="12"/>
      <c r="S64" s="12"/>
      <c r="T64" s="12"/>
      <c r="U64" s="12"/>
      <c r="V64" s="12"/>
    </row>
    <row r="65" spans="1:22" x14ac:dyDescent="0.25">
      <c r="A65" s="9" t="str">
        <f>Summary!$E16</f>
        <v>Plant Operations</v>
      </c>
      <c r="B65" s="16">
        <f>G7</f>
        <v>0.45</v>
      </c>
      <c r="C65" s="14">
        <f t="shared" si="56"/>
        <v>0.45900000000000002</v>
      </c>
      <c r="D65" s="14">
        <f t="shared" si="56"/>
        <v>0.46818000000000004</v>
      </c>
      <c r="E65" s="14">
        <f t="shared" si="56"/>
        <v>0.47754360000000007</v>
      </c>
      <c r="F65" s="14">
        <f t="shared" si="56"/>
        <v>0.48709447200000006</v>
      </c>
      <c r="G65" s="14">
        <f t="shared" si="56"/>
        <v>0.49683636144000004</v>
      </c>
      <c r="H65" s="12"/>
      <c r="I65" s="16">
        <f>N7</f>
        <v>0.1</v>
      </c>
      <c r="J65" s="14">
        <f t="shared" ref="J65:N65" si="61">I65*(1+$O$59)</f>
        <v>0.1</v>
      </c>
      <c r="K65" s="14">
        <f t="shared" si="61"/>
        <v>0.1</v>
      </c>
      <c r="L65" s="14">
        <f t="shared" si="61"/>
        <v>0.1</v>
      </c>
      <c r="M65" s="14">
        <f t="shared" si="61"/>
        <v>0.1</v>
      </c>
      <c r="N65" s="14">
        <f t="shared" si="61"/>
        <v>0.1</v>
      </c>
      <c r="O65" s="12"/>
      <c r="P65" s="12"/>
      <c r="Q65" s="12"/>
      <c r="R65" s="12"/>
      <c r="S65" s="12"/>
      <c r="T65" s="12"/>
      <c r="U65" s="12"/>
      <c r="V65" s="12"/>
    </row>
    <row r="66" spans="1:22" x14ac:dyDescent="0.25">
      <c r="A66" s="78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</row>
    <row r="67" spans="1:22" x14ac:dyDescent="0.25">
      <c r="A67" s="19" t="s">
        <v>22</v>
      </c>
      <c r="B67" s="106">
        <f>Summary!$B$29+1</f>
        <v>2022</v>
      </c>
      <c r="C67" s="106">
        <f>B67+1</f>
        <v>2023</v>
      </c>
      <c r="D67" s="106">
        <f t="shared" ref="D67:F67" si="62">C67+1</f>
        <v>2024</v>
      </c>
      <c r="E67" s="106">
        <f t="shared" si="62"/>
        <v>2025</v>
      </c>
      <c r="F67" s="106">
        <f t="shared" si="62"/>
        <v>2026</v>
      </c>
      <c r="G67" s="106">
        <f>F67+1</f>
        <v>2027</v>
      </c>
      <c r="H67" s="12"/>
      <c r="I67" s="106">
        <f>Summary!$B$29+1</f>
        <v>2022</v>
      </c>
      <c r="J67" s="106">
        <f>I67+1</f>
        <v>2023</v>
      </c>
      <c r="K67" s="106">
        <f t="shared" ref="K67" si="63">J67+1</f>
        <v>2024</v>
      </c>
      <c r="L67" s="106">
        <f t="shared" ref="L67" si="64">K67+1</f>
        <v>2025</v>
      </c>
      <c r="M67" s="106">
        <f t="shared" ref="M67" si="65">L67+1</f>
        <v>2026</v>
      </c>
      <c r="N67" s="106">
        <f>M67+1</f>
        <v>2027</v>
      </c>
      <c r="O67" s="12"/>
      <c r="P67" s="12"/>
      <c r="Q67" s="12"/>
      <c r="R67" s="12"/>
      <c r="S67" s="12"/>
      <c r="T67" s="12"/>
      <c r="U67" s="12"/>
      <c r="V67" s="12"/>
    </row>
    <row r="68" spans="1:22" x14ac:dyDescent="0.25">
      <c r="A68" s="9" t="str">
        <f>Summary!$E12</f>
        <v>Instruction</v>
      </c>
      <c r="B68" s="3">
        <f t="shared" ref="B68:G68" si="66">B60*B23*B40+B61*B28*B44</f>
        <v>5220000</v>
      </c>
      <c r="C68" s="3">
        <f t="shared" si="66"/>
        <v>5300492.0869565215</v>
      </c>
      <c r="D68" s="3">
        <f t="shared" si="66"/>
        <v>5376001.670859131</v>
      </c>
      <c r="E68" s="3">
        <f t="shared" si="66"/>
        <v>5446110.2722268738</v>
      </c>
      <c r="F68" s="3">
        <f t="shared" si="66"/>
        <v>5707160.2481013965</v>
      </c>
      <c r="G68" s="3">
        <f t="shared" si="66"/>
        <v>5566243.7944586091</v>
      </c>
      <c r="H68" s="12"/>
      <c r="I68" s="3">
        <f t="shared" ref="I68:N68" si="67">I60*I23*I40+I61*I28*I44</f>
        <v>39000</v>
      </c>
      <c r="J68" s="3">
        <f t="shared" si="67"/>
        <v>52324.000000000007</v>
      </c>
      <c r="K68" s="3">
        <f t="shared" si="67"/>
        <v>66412.34</v>
      </c>
      <c r="L68" s="3">
        <f t="shared" si="67"/>
        <v>81308.601928888893</v>
      </c>
      <c r="M68" s="3">
        <f t="shared" si="67"/>
        <v>97038.868467511114</v>
      </c>
      <c r="N68" s="3">
        <f t="shared" si="67"/>
        <v>113639.77325671466</v>
      </c>
      <c r="O68" s="12"/>
      <c r="P68" s="12"/>
      <c r="Q68" s="12"/>
      <c r="R68" s="12"/>
      <c r="S68" s="12"/>
      <c r="T68" s="12"/>
      <c r="U68" s="12"/>
      <c r="V68" s="12"/>
    </row>
    <row r="69" spans="1:22" x14ac:dyDescent="0.25">
      <c r="A69" s="9" t="str">
        <f>Summary!$E13</f>
        <v>Academic Support</v>
      </c>
      <c r="B69" s="5">
        <f>B62*B29*B45</f>
        <v>450000</v>
      </c>
      <c r="C69" s="5">
        <f t="shared" ref="C69:G69" si="68">C62*C29*C45</f>
        <v>455966.60869565222</v>
      </c>
      <c r="D69" s="5">
        <f t="shared" si="68"/>
        <v>461680.8473739131</v>
      </c>
      <c r="E69" s="5">
        <f t="shared" si="68"/>
        <v>467466.6977076098</v>
      </c>
      <c r="F69" s="5">
        <f t="shared" si="68"/>
        <v>472966.50773641927</v>
      </c>
      <c r="G69" s="5">
        <f t="shared" si="68"/>
        <v>478147.72197022621</v>
      </c>
      <c r="H69" s="12"/>
      <c r="I69" s="5">
        <f>I62*I29*I45</f>
        <v>18000</v>
      </c>
      <c r="J69" s="5">
        <f t="shared" ref="J69:N69" si="69">J62*J29*J45</f>
        <v>18128</v>
      </c>
      <c r="K69" s="5">
        <f t="shared" si="69"/>
        <v>18247.480000000003</v>
      </c>
      <c r="L69" s="5">
        <f t="shared" si="69"/>
        <v>18377.239857777782</v>
      </c>
      <c r="M69" s="5">
        <f t="shared" si="69"/>
        <v>18498.362575022227</v>
      </c>
      <c r="N69" s="5">
        <f t="shared" si="69"/>
        <v>18610.213139429343</v>
      </c>
      <c r="O69" s="12"/>
      <c r="P69" s="12"/>
      <c r="Q69" s="12"/>
      <c r="R69" s="12"/>
      <c r="S69" s="12"/>
      <c r="T69" s="12"/>
      <c r="U69" s="12"/>
      <c r="V69" s="12"/>
    </row>
    <row r="70" spans="1:22" x14ac:dyDescent="0.25">
      <c r="A70" s="9" t="str">
        <f>Summary!$E14</f>
        <v>Student Affairs</v>
      </c>
      <c r="B70" s="5">
        <f>B63*B30*B46</f>
        <v>540000</v>
      </c>
      <c r="C70" s="5">
        <f t="shared" ref="C70:G72" si="70">C63*C30*C46</f>
        <v>547159.93043478264</v>
      </c>
      <c r="D70" s="5">
        <f t="shared" si="70"/>
        <v>612468.35348869581</v>
      </c>
      <c r="E70" s="5">
        <f t="shared" si="70"/>
        <v>620143.89439009514</v>
      </c>
      <c r="F70" s="5">
        <f t="shared" si="70"/>
        <v>627439.97264849755</v>
      </c>
      <c r="G70" s="5">
        <f t="shared" si="70"/>
        <v>634313.39997151098</v>
      </c>
      <c r="H70" s="12"/>
      <c r="I70" s="5">
        <f>I63*I30*I46</f>
        <v>36000</v>
      </c>
      <c r="J70" s="5">
        <f t="shared" ref="J70:N72" si="71">J63*J30*J46</f>
        <v>36256</v>
      </c>
      <c r="K70" s="5">
        <f t="shared" si="71"/>
        <v>36494.960000000006</v>
      </c>
      <c r="L70" s="5">
        <f t="shared" si="71"/>
        <v>36754.479715555564</v>
      </c>
      <c r="M70" s="5">
        <f t="shared" si="71"/>
        <v>36996.725150044454</v>
      </c>
      <c r="N70" s="5">
        <f t="shared" si="71"/>
        <v>37220.426278858686</v>
      </c>
      <c r="O70" s="12"/>
      <c r="P70" s="12"/>
      <c r="Q70" s="12"/>
      <c r="R70" s="12"/>
      <c r="S70" s="12"/>
      <c r="T70" s="12"/>
      <c r="U70" s="12"/>
      <c r="V70" s="12"/>
    </row>
    <row r="71" spans="1:22" x14ac:dyDescent="0.25">
      <c r="A71" s="9" t="str">
        <f>Summary!$E15</f>
        <v>Administrative Support</v>
      </c>
      <c r="B71" s="5">
        <f>B64*B31*B47</f>
        <v>360000</v>
      </c>
      <c r="C71" s="5">
        <f t="shared" si="70"/>
        <v>364773.28695652174</v>
      </c>
      <c r="D71" s="5">
        <f t="shared" si="70"/>
        <v>369344.6778991305</v>
      </c>
      <c r="E71" s="5">
        <f t="shared" si="70"/>
        <v>373973.35816608788</v>
      </c>
      <c r="F71" s="5">
        <f t="shared" si="70"/>
        <v>378373.2061891355</v>
      </c>
      <c r="G71" s="5">
        <f t="shared" si="70"/>
        <v>382518.17757618107</v>
      </c>
      <c r="H71" s="12"/>
      <c r="I71" s="5">
        <f>I64*I31*I47</f>
        <v>9000</v>
      </c>
      <c r="J71" s="5">
        <f t="shared" si="71"/>
        <v>9064</v>
      </c>
      <c r="K71" s="5">
        <f t="shared" si="71"/>
        <v>9123.7400000000016</v>
      </c>
      <c r="L71" s="5">
        <f t="shared" si="71"/>
        <v>9188.6199288888911</v>
      </c>
      <c r="M71" s="5">
        <f t="shared" si="71"/>
        <v>9249.1812875111136</v>
      </c>
      <c r="N71" s="5">
        <f t="shared" si="71"/>
        <v>9305.1065697146714</v>
      </c>
      <c r="O71" s="12"/>
      <c r="P71" s="12"/>
      <c r="Q71" s="12"/>
      <c r="R71" s="12"/>
      <c r="S71" s="12"/>
      <c r="T71" s="12"/>
      <c r="U71" s="12"/>
      <c r="V71" s="12"/>
    </row>
    <row r="72" spans="1:22" x14ac:dyDescent="0.25">
      <c r="A72" s="9" t="str">
        <f>Summary!$E16</f>
        <v>Plant Operations</v>
      </c>
      <c r="B72" s="5">
        <f>B65*B32*B48</f>
        <v>360000</v>
      </c>
      <c r="C72" s="5">
        <f t="shared" si="70"/>
        <v>364773.28695652174</v>
      </c>
      <c r="D72" s="5">
        <f t="shared" si="70"/>
        <v>369344.6778991305</v>
      </c>
      <c r="E72" s="5">
        <f t="shared" si="70"/>
        <v>373973.35816608788</v>
      </c>
      <c r="F72" s="5">
        <f t="shared" si="70"/>
        <v>378373.2061891355</v>
      </c>
      <c r="G72" s="5">
        <f t="shared" si="70"/>
        <v>382518.17757618107</v>
      </c>
      <c r="H72" s="12"/>
      <c r="I72" s="5">
        <f>I65*I32*I48</f>
        <v>9000</v>
      </c>
      <c r="J72" s="5">
        <f t="shared" si="71"/>
        <v>9064</v>
      </c>
      <c r="K72" s="5">
        <f t="shared" si="71"/>
        <v>12942.980000000003</v>
      </c>
      <c r="L72" s="5">
        <f t="shared" si="71"/>
        <v>13035.018968888895</v>
      </c>
      <c r="M72" s="5">
        <f t="shared" si="71"/>
        <v>13120.931593911115</v>
      </c>
      <c r="N72" s="5">
        <f t="shared" si="71"/>
        <v>13200.267459362673</v>
      </c>
      <c r="O72" s="12"/>
      <c r="P72" s="12"/>
      <c r="Q72" s="12"/>
      <c r="R72" s="12"/>
      <c r="S72" s="12"/>
      <c r="T72" s="12"/>
      <c r="U72" s="12"/>
      <c r="V72" s="12"/>
    </row>
    <row r="73" spans="1:22" x14ac:dyDescent="0.25">
      <c r="A73" s="78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</row>
    <row r="74" spans="1:22" x14ac:dyDescent="0.25">
      <c r="A74" s="19" t="s">
        <v>77</v>
      </c>
      <c r="B74" s="106">
        <f>Summary!$B$29+1</f>
        <v>2022</v>
      </c>
      <c r="C74" s="6">
        <f>B74+1</f>
        <v>2023</v>
      </c>
      <c r="D74" s="6">
        <f>C74+1</f>
        <v>2024</v>
      </c>
      <c r="E74" s="6">
        <f>D74+1</f>
        <v>2025</v>
      </c>
      <c r="F74" s="6">
        <f>E74+1</f>
        <v>2026</v>
      </c>
      <c r="G74" s="6">
        <f>F74+1</f>
        <v>2027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</row>
    <row r="75" spans="1:22" x14ac:dyDescent="0.25">
      <c r="A75" s="9" t="str">
        <f>Summary!$E12</f>
        <v>Instruction</v>
      </c>
      <c r="B75" s="15"/>
      <c r="C75" s="25">
        <v>0</v>
      </c>
      <c r="D75" s="25">
        <v>50000</v>
      </c>
      <c r="E75" s="25">
        <v>0</v>
      </c>
      <c r="F75" s="25">
        <v>0</v>
      </c>
      <c r="G75" s="25">
        <v>0</v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</row>
    <row r="76" spans="1:22" x14ac:dyDescent="0.25">
      <c r="A76" s="9" t="str">
        <f>Summary!$E13</f>
        <v>Academic Support</v>
      </c>
      <c r="B76" s="15"/>
      <c r="C76" s="25">
        <v>0</v>
      </c>
      <c r="D76" s="25">
        <v>0</v>
      </c>
      <c r="E76" s="25">
        <v>0</v>
      </c>
      <c r="F76" s="25">
        <v>0</v>
      </c>
      <c r="G76" s="25">
        <v>0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</row>
    <row r="77" spans="1:22" x14ac:dyDescent="0.25">
      <c r="A77" s="9" t="str">
        <f>Summary!$E14</f>
        <v>Student Affairs</v>
      </c>
      <c r="B77" s="15"/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</row>
    <row r="78" spans="1:22" x14ac:dyDescent="0.25">
      <c r="A78" s="9" t="str">
        <f>Summary!$E15</f>
        <v>Administrative Support</v>
      </c>
      <c r="B78" s="15"/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</row>
    <row r="79" spans="1:22" x14ac:dyDescent="0.25">
      <c r="A79" s="9" t="str">
        <f>Summary!$E16</f>
        <v>Plant Operations</v>
      </c>
      <c r="B79" s="15"/>
      <c r="C79" s="25">
        <v>0</v>
      </c>
      <c r="D79" s="25">
        <v>0</v>
      </c>
      <c r="E79" s="25">
        <v>200000</v>
      </c>
      <c r="F79" s="25">
        <v>0</v>
      </c>
      <c r="G79" s="25">
        <v>0</v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</row>
    <row r="80" spans="1:22" x14ac:dyDescent="0.25">
      <c r="A80" s="78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</row>
    <row r="81" spans="1:22" x14ac:dyDescent="0.25">
      <c r="A81" s="78"/>
      <c r="B81" s="12"/>
      <c r="C81" s="12"/>
      <c r="D81" s="12"/>
      <c r="E81" s="12"/>
      <c r="F81" s="12"/>
      <c r="G81" s="7"/>
      <c r="H81" s="11" t="s">
        <v>44</v>
      </c>
      <c r="I81" s="7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</row>
    <row r="82" spans="1:22" x14ac:dyDescent="0.25">
      <c r="A82" s="19" t="s">
        <v>23</v>
      </c>
      <c r="B82" s="106">
        <f>Summary!$B$29+1</f>
        <v>2022</v>
      </c>
      <c r="C82" s="106">
        <f>B82+1</f>
        <v>2023</v>
      </c>
      <c r="D82" s="106">
        <f>C82+1</f>
        <v>2024</v>
      </c>
      <c r="E82" s="106">
        <f>D82+1</f>
        <v>2025</v>
      </c>
      <c r="F82" s="106">
        <f>E82+1</f>
        <v>2026</v>
      </c>
      <c r="G82" s="106">
        <f>F82+1</f>
        <v>2027</v>
      </c>
      <c r="H82" s="112">
        <f>Summary!B20</f>
        <v>0.02</v>
      </c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</row>
    <row r="83" spans="1:22" x14ac:dyDescent="0.25">
      <c r="A83" s="9" t="str">
        <f>Summary!$E12</f>
        <v>Instruction</v>
      </c>
      <c r="B83" s="5">
        <f>H3</f>
        <v>200000</v>
      </c>
      <c r="C83" s="5">
        <f>B83*(1+$H$82+$P$3)+C75</f>
        <v>208000</v>
      </c>
      <c r="D83" s="5">
        <f>C83*(1+$H$82+$P$3)+D75</f>
        <v>266320</v>
      </c>
      <c r="E83" s="5">
        <f>D83*(1+$H$82+$P$3)+E75</f>
        <v>276972.79999999999</v>
      </c>
      <c r="F83" s="5">
        <f>E83*(1+$H$82+$P$3)+F75</f>
        <v>288051.712</v>
      </c>
      <c r="G83" s="5">
        <f>F83*(1+$H$82+$P$3)+G75</f>
        <v>299573.78048000002</v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</row>
    <row r="84" spans="1:22" x14ac:dyDescent="0.25">
      <c r="A84" s="9" t="str">
        <f>Summary!$E13</f>
        <v>Academic Support</v>
      </c>
      <c r="B84" s="5">
        <f>H4</f>
        <v>200000</v>
      </c>
      <c r="C84" s="5">
        <f t="shared" ref="C84:D87" si="72">B84*(1+$H$82+$P$3)+C76</f>
        <v>208000</v>
      </c>
      <c r="D84" s="5">
        <f t="shared" si="72"/>
        <v>216320</v>
      </c>
      <c r="E84" s="5">
        <f t="shared" ref="E84:G84" si="73">D84*(1+$H$82+$P$3)+E76</f>
        <v>224972.80000000002</v>
      </c>
      <c r="F84" s="5">
        <f t="shared" si="73"/>
        <v>233971.71200000003</v>
      </c>
      <c r="G84" s="5">
        <f t="shared" si="73"/>
        <v>243330.58048000003</v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</row>
    <row r="85" spans="1:22" x14ac:dyDescent="0.25">
      <c r="A85" s="9" t="str">
        <f>Summary!$E14</f>
        <v>Student Affairs</v>
      </c>
      <c r="B85" s="5">
        <f>H5</f>
        <v>200000</v>
      </c>
      <c r="C85" s="5">
        <f t="shared" si="72"/>
        <v>208000</v>
      </c>
      <c r="D85" s="5">
        <f t="shared" si="72"/>
        <v>216320</v>
      </c>
      <c r="E85" s="5">
        <f t="shared" ref="E85:G85" si="74">D85*(1+$H$82+$P$3)+E77</f>
        <v>224972.80000000002</v>
      </c>
      <c r="F85" s="5">
        <f t="shared" si="74"/>
        <v>233971.71200000003</v>
      </c>
      <c r="G85" s="5">
        <f t="shared" si="74"/>
        <v>243330.58048000003</v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</row>
    <row r="86" spans="1:22" x14ac:dyDescent="0.25">
      <c r="A86" s="9" t="str">
        <f>Summary!$E15</f>
        <v>Administrative Support</v>
      </c>
      <c r="B86" s="5">
        <f>H6</f>
        <v>200000</v>
      </c>
      <c r="C86" s="5">
        <f t="shared" si="72"/>
        <v>208000</v>
      </c>
      <c r="D86" s="5">
        <f t="shared" si="72"/>
        <v>216320</v>
      </c>
      <c r="E86" s="5">
        <f t="shared" ref="E86:G86" si="75">D86*(1+$H$82+$P$3)+E78</f>
        <v>224972.80000000002</v>
      </c>
      <c r="F86" s="5">
        <f t="shared" si="75"/>
        <v>233971.71200000003</v>
      </c>
      <c r="G86" s="5">
        <f t="shared" si="75"/>
        <v>243330.58048000003</v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</row>
    <row r="87" spans="1:22" x14ac:dyDescent="0.25">
      <c r="A87" s="9" t="str">
        <f>Summary!$E16</f>
        <v>Plant Operations</v>
      </c>
      <c r="B87" s="5">
        <f>H7</f>
        <v>800000</v>
      </c>
      <c r="C87" s="5">
        <f t="shared" si="72"/>
        <v>832000</v>
      </c>
      <c r="D87" s="5">
        <f t="shared" si="72"/>
        <v>865280</v>
      </c>
      <c r="E87" s="5">
        <f t="shared" ref="E87:G87" si="76">D87*(1+$H$82+$P$3)+E79</f>
        <v>1099891.2000000002</v>
      </c>
      <c r="F87" s="5">
        <f t="shared" si="76"/>
        <v>1143886.8480000002</v>
      </c>
      <c r="G87" s="5">
        <f t="shared" si="76"/>
        <v>1189642.3219200002</v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</row>
    <row r="88" spans="1:22" x14ac:dyDescent="0.25">
      <c r="A88" s="78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</row>
    <row r="89" spans="1:22" x14ac:dyDescent="0.25">
      <c r="A89" s="19" t="s">
        <v>30</v>
      </c>
      <c r="B89" s="106">
        <f>Summary!$B$29+1</f>
        <v>2022</v>
      </c>
      <c r="C89" s="106">
        <f>B89+1</f>
        <v>2023</v>
      </c>
      <c r="D89" s="106">
        <f t="shared" ref="D89:G89" si="77">C89+1</f>
        <v>2024</v>
      </c>
      <c r="E89" s="106">
        <f t="shared" si="77"/>
        <v>2025</v>
      </c>
      <c r="F89" s="106">
        <f t="shared" si="77"/>
        <v>2026</v>
      </c>
      <c r="G89" s="106">
        <f t="shared" si="77"/>
        <v>2027</v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</row>
    <row r="90" spans="1:22" x14ac:dyDescent="0.25">
      <c r="A90" s="9" t="str">
        <f>Summary!$E12</f>
        <v>Instruction</v>
      </c>
      <c r="B90" s="17">
        <f t="shared" ref="B90:G94" si="78">B52+B68+B83+I52+I68</f>
        <v>17449000</v>
      </c>
      <c r="C90" s="17">
        <f t="shared" si="78"/>
        <v>17631969.130434781</v>
      </c>
      <c r="D90" s="17">
        <f t="shared" si="78"/>
        <v>17855624.019554783</v>
      </c>
      <c r="E90" s="17">
        <f t="shared" si="78"/>
        <v>18021902.906612355</v>
      </c>
      <c r="F90" s="17">
        <f t="shared" si="78"/>
        <v>18779381.492819179</v>
      </c>
      <c r="G90" s="17">
        <f t="shared" si="78"/>
        <v>18319229.524464112</v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</row>
    <row r="91" spans="1:22" x14ac:dyDescent="0.25">
      <c r="A91" s="9" t="str">
        <f>Summary!$E13</f>
        <v>Academic Support</v>
      </c>
      <c r="B91" s="17">
        <f t="shared" si="78"/>
        <v>2298000</v>
      </c>
      <c r="C91" s="17">
        <f t="shared" si="78"/>
        <v>2320265.9130434785</v>
      </c>
      <c r="D91" s="17">
        <f t="shared" si="78"/>
        <v>2342246.3882434783</v>
      </c>
      <c r="E91" s="17">
        <f t="shared" si="78"/>
        <v>2365214.7526027928</v>
      </c>
      <c r="F91" s="17">
        <f t="shared" si="78"/>
        <v>2387894.605530608</v>
      </c>
      <c r="G91" s="17">
        <f t="shared" si="78"/>
        <v>2410248.6991709988</v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</row>
    <row r="92" spans="1:22" x14ac:dyDescent="0.25">
      <c r="A92" s="9" t="str">
        <f>Summary!$E14</f>
        <v>Student Affairs</v>
      </c>
      <c r="B92" s="17">
        <f t="shared" si="78"/>
        <v>2336000</v>
      </c>
      <c r="C92" s="17">
        <f t="shared" si="78"/>
        <v>2346045.4956521741</v>
      </c>
      <c r="D92" s="17">
        <f t="shared" si="78"/>
        <v>2538422.8265321744</v>
      </c>
      <c r="E92" s="17">
        <f t="shared" si="78"/>
        <v>2548028.0652984735</v>
      </c>
      <c r="F92" s="17">
        <f t="shared" si="78"/>
        <v>2556503.5476045767</v>
      </c>
      <c r="G92" s="17">
        <f t="shared" si="78"/>
        <v>2563773.5349459876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</row>
    <row r="93" spans="1:22" x14ac:dyDescent="0.25">
      <c r="A93" s="9" t="str">
        <f>Summary!$E15</f>
        <v>Administrative Support</v>
      </c>
      <c r="B93" s="17">
        <f t="shared" si="78"/>
        <v>1459000</v>
      </c>
      <c r="C93" s="17">
        <f t="shared" si="78"/>
        <v>1467190.3304347827</v>
      </c>
      <c r="D93" s="17">
        <f t="shared" si="78"/>
        <v>1474920.4265947829</v>
      </c>
      <c r="E93" s="17">
        <f t="shared" si="78"/>
        <v>1483139.7505515676</v>
      </c>
      <c r="F93" s="17">
        <f t="shared" si="78"/>
        <v>1490882.2587269132</v>
      </c>
      <c r="G93" s="17">
        <f t="shared" si="78"/>
        <v>1498112.7053246822</v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</row>
    <row r="94" spans="1:22" x14ac:dyDescent="0.25">
      <c r="A94" s="9" t="str">
        <f>Summary!$E16</f>
        <v>Plant Operations</v>
      </c>
      <c r="B94" s="18">
        <f t="shared" si="78"/>
        <v>2059000</v>
      </c>
      <c r="C94" s="18">
        <f t="shared" si="78"/>
        <v>2091190.3304347827</v>
      </c>
      <c r="D94" s="18">
        <f t="shared" si="78"/>
        <v>2165892.0665947828</v>
      </c>
      <c r="E94" s="18">
        <f t="shared" si="78"/>
        <v>2400368.5399915678</v>
      </c>
      <c r="F94" s="18">
        <f t="shared" si="78"/>
        <v>2443386.6480973139</v>
      </c>
      <c r="G94" s="18">
        <f t="shared" si="78"/>
        <v>2487271.2165508103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</row>
    <row r="95" spans="1:22" x14ac:dyDescent="0.25">
      <c r="A95" s="120" t="str">
        <f>Summary!$E17</f>
        <v xml:space="preserve">Total Expenses           </v>
      </c>
      <c r="B95" s="5">
        <f>SUM(B90:B94)</f>
        <v>25601000</v>
      </c>
      <c r="C95" s="5">
        <f t="shared" ref="C95:G95" si="79">SUM(C90:C94)</f>
        <v>25856661.199999999</v>
      </c>
      <c r="D95" s="5">
        <f t="shared" si="79"/>
        <v>26377105.72752</v>
      </c>
      <c r="E95" s="5">
        <f t="shared" si="79"/>
        <v>26818654.015056755</v>
      </c>
      <c r="F95" s="5">
        <f t="shared" si="79"/>
        <v>27658048.55277859</v>
      </c>
      <c r="G95" s="5">
        <f t="shared" si="79"/>
        <v>27278635.680456594</v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</row>
    <row r="96" spans="1:22" x14ac:dyDescent="0.25">
      <c r="A96" s="7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</row>
    <row r="97" spans="1:22" x14ac:dyDescent="0.25">
      <c r="A97" s="7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</row>
    <row r="98" spans="1:22" x14ac:dyDescent="0.25">
      <c r="A98" s="7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</row>
    <row r="99" spans="1:22" x14ac:dyDescent="0.25">
      <c r="A99" s="7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</row>
    <row r="100" spans="1:22" x14ac:dyDescent="0.25">
      <c r="A100" s="7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68571-CAE2-4D09-AD2C-A792A59E1D4D}">
  <dimension ref="A1:Q59"/>
  <sheetViews>
    <sheetView workbookViewId="0"/>
  </sheetViews>
  <sheetFormatPr defaultRowHeight="15" x14ac:dyDescent="0.25"/>
  <cols>
    <col min="1" max="1" width="28.85546875" customWidth="1"/>
    <col min="2" max="7" width="14" customWidth="1"/>
    <col min="8" max="8" width="32.5703125" customWidth="1"/>
  </cols>
  <sheetData>
    <row r="1" spans="1:17" x14ac:dyDescent="0.25">
      <c r="A1" s="130" t="str">
        <f>Summary!A1</f>
        <v>Foggy Mountain College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x14ac:dyDescent="0.25">
      <c r="A2" s="131" t="s">
        <v>147</v>
      </c>
      <c r="B2" s="132">
        <f>Summary!F3</f>
        <v>2022</v>
      </c>
      <c r="C2" s="132">
        <f>Summary!G3</f>
        <v>2023</v>
      </c>
      <c r="D2" s="132">
        <f>Summary!H3</f>
        <v>2024</v>
      </c>
      <c r="E2" s="132">
        <f>Summary!I3</f>
        <v>2025</v>
      </c>
      <c r="F2" s="132">
        <f>Summary!J3</f>
        <v>2026</v>
      </c>
      <c r="G2" s="132">
        <f>Summary!K3</f>
        <v>2027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x14ac:dyDescent="0.25">
      <c r="A3" s="7" t="s">
        <v>148</v>
      </c>
      <c r="B3" s="133">
        <f>Enrollment!C27/Staffing!B36</f>
        <v>17.70071948221273</v>
      </c>
      <c r="C3" s="133">
        <f>Enrollment!D27/Staffing!C36</f>
        <v>16.246372827643118</v>
      </c>
      <c r="D3" s="133">
        <f>Enrollment!E27/Staffing!D36</f>
        <v>15.286763289465018</v>
      </c>
      <c r="E3" s="133">
        <f>Enrollment!F27/Staffing!E36</f>
        <v>13.645337989071299</v>
      </c>
      <c r="F3" s="133">
        <f>Enrollment!G27/Staffing!F36</f>
        <v>12.979376627516315</v>
      </c>
      <c r="G3" s="133">
        <f>Enrollment!H27/Staffing!G36</f>
        <v>12.610812918572808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x14ac:dyDescent="0.25">
      <c r="A4" s="7" t="s">
        <v>149</v>
      </c>
      <c r="B4" s="133">
        <f>Enrollment!C11/Staffing!B23</f>
        <v>46.383694729683484</v>
      </c>
      <c r="C4" s="133">
        <f>Enrollment!D11/Staffing!C23</f>
        <v>43.869616961741535</v>
      </c>
      <c r="D4" s="133">
        <f>Enrollment!E11/Staffing!D23</f>
        <v>42.190246487071583</v>
      </c>
      <c r="E4" s="133">
        <f>Enrollment!F11/Staffing!E23</f>
        <v>39.01420778186074</v>
      </c>
      <c r="F4" s="133">
        <f>Enrollment!G11/Staffing!F23</f>
        <v>37.251899066179426</v>
      </c>
      <c r="G4" s="133">
        <f>Enrollment!H11/Staffing!G23</f>
        <v>35.518586711478918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x14ac:dyDescent="0.25">
      <c r="A5" s="7" t="s">
        <v>150</v>
      </c>
      <c r="B5" s="133">
        <f>Enrollment!C11/Staffing!B33</f>
        <v>48.400377109234938</v>
      </c>
      <c r="C5" s="133">
        <f>Enrollment!D11/Staffing!C33</f>
        <v>45.436388996089441</v>
      </c>
      <c r="D5" s="133">
        <f>Enrollment!E11/Staffing!D33</f>
        <v>42.190246487071576</v>
      </c>
      <c r="E5" s="133">
        <f>Enrollment!F11/Staffing!E33</f>
        <v>38.656279270100548</v>
      </c>
      <c r="F5" s="133">
        <f>Enrollment!G11/Staffing!F33</f>
        <v>37.954765086296014</v>
      </c>
      <c r="G5" s="133">
        <f>Enrollment!H11/Staffing!G33</f>
        <v>34.484064768426123</v>
      </c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x14ac:dyDescent="0.25">
      <c r="A6" s="7" t="s">
        <v>151</v>
      </c>
      <c r="B6" s="133">
        <f>Staffing!B23/Staffing!B33</f>
        <v>1.0434782608695652</v>
      </c>
      <c r="C6" s="133">
        <f>Staffing!C23/Staffing!C33</f>
        <v>1.0357142857142858</v>
      </c>
      <c r="D6" s="133">
        <f>Staffing!D23/Staffing!D33</f>
        <v>0.99999999999999989</v>
      </c>
      <c r="E6" s="133">
        <f>Staffing!E23/Staffing!E33</f>
        <v>0.99082568807339455</v>
      </c>
      <c r="F6" s="133">
        <f>Staffing!F23/Staffing!F33</f>
        <v>1.0188679245283017</v>
      </c>
      <c r="G6" s="133">
        <f>Staffing!G23/Staffing!G33</f>
        <v>0.97087378640776667</v>
      </c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x14ac:dyDescent="0.25">
      <c r="A7" s="7" t="s">
        <v>152</v>
      </c>
      <c r="B7" s="134">
        <f>Summary!F17/((Enrollment!C27+Enrollment!C28)/2)</f>
        <v>12298.324633196826</v>
      </c>
      <c r="C7" s="134">
        <f>Summary!G17/((Enrollment!D27+Enrollment!D28)/2)</f>
        <v>13662.355834046793</v>
      </c>
      <c r="D7" s="134">
        <f>Summary!H17/((Enrollment!E27+Enrollment!E28)/2)</f>
        <v>14997.631052784074</v>
      </c>
      <c r="E7" s="134">
        <f>Summary!I17/((Enrollment!F27+Enrollment!F28)/2)</f>
        <v>17223.475436591852</v>
      </c>
      <c r="F7" s="134">
        <f>Summary!J17/((Enrollment!G27+Enrollment!G28)/2)</f>
        <v>18400.633604901588</v>
      </c>
      <c r="G7" s="134">
        <f>Summary!K17/((Enrollment!H27+Enrollment!H28)/2)</f>
        <v>20291.795558497142</v>
      </c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x14ac:dyDescent="0.25">
      <c r="A8" s="7" t="s">
        <v>153</v>
      </c>
      <c r="B8" s="30">
        <f>Summary!F19/Summary!F9</f>
        <v>0.32498985842852152</v>
      </c>
      <c r="C8" s="30">
        <f>Summary!G19/Summary!G9</f>
        <v>0.26768987522004734</v>
      </c>
      <c r="D8" s="30">
        <f>Summary!H19/Summary!H9</f>
        <v>0.18083864858208709</v>
      </c>
      <c r="E8" s="30">
        <f>Summary!I19/Summary!I9</f>
        <v>6.1700700666453397E-2</v>
      </c>
      <c r="F8" s="30">
        <f>Summary!J19/Summary!J9</f>
        <v>-3.3346721203482733E-2</v>
      </c>
      <c r="G8" s="30">
        <f>Summary!K19/Summary!K9</f>
        <v>-0.21053563442851916</v>
      </c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7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17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17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1:17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7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pans="1:17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17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7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7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17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1:17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1:17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1:17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spans="1:17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pans="1:17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spans="1:17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spans="1:17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spans="1:17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spans="1:17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7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Enrollment</vt:lpstr>
      <vt:lpstr>StuFlow</vt:lpstr>
      <vt:lpstr>Staffing</vt:lpstr>
      <vt:lpstr>KPIs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Dickmeyer</dc:creator>
  <cp:lastModifiedBy>Nathan Dickmeyer</cp:lastModifiedBy>
  <dcterms:created xsi:type="dcterms:W3CDTF">2021-02-18T21:10:06Z</dcterms:created>
  <dcterms:modified xsi:type="dcterms:W3CDTF">2022-01-23T21:26:11Z</dcterms:modified>
</cp:coreProperties>
</file>