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d\Writing\Modeling Book\Spreadsheets\Final Final Final Final\"/>
    </mc:Choice>
  </mc:AlternateContent>
  <xr:revisionPtr revIDLastSave="0" documentId="13_ncr:1_{AB9E8721-22EA-49FC-819D-A43A37EE64C5}" xr6:coauthVersionLast="47" xr6:coauthVersionMax="47" xr10:uidLastSave="{00000000-0000-0000-0000-000000000000}"/>
  <bookViews>
    <workbookView xWindow="-120" yWindow="-120" windowWidth="19440" windowHeight="14880" xr2:uid="{B379CA02-A9A6-4AA7-B58B-D86B40358E46}"/>
  </bookViews>
  <sheets>
    <sheet name="Summary" sheetId="1" r:id="rId1"/>
    <sheet name="Enrollment" sheetId="2" r:id="rId2"/>
    <sheet name="StuFlow" sheetId="4" r:id="rId3"/>
    <sheet name="BalSheet" sheetId="6" r:id="rId4"/>
    <sheet name="Cash" sheetId="5" r:id="rId5"/>
    <sheet name="Staffing" sheetId="3" r:id="rId6"/>
    <sheet name="KPIs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7" l="1"/>
  <c r="C7" i="7" l="1"/>
  <c r="D7" i="7"/>
  <c r="E7" i="7"/>
  <c r="F7" i="7"/>
  <c r="G7" i="7"/>
  <c r="A29" i="4"/>
  <c r="A28" i="4"/>
  <c r="A27" i="4"/>
  <c r="A26" i="4"/>
  <c r="A25" i="4"/>
  <c r="A24" i="4"/>
  <c r="A23" i="4"/>
  <c r="A22" i="4"/>
  <c r="A21" i="4"/>
  <c r="A20" i="4"/>
  <c r="A19" i="4"/>
  <c r="A18" i="4"/>
  <c r="D36" i="2"/>
  <c r="E36" i="2"/>
  <c r="F36" i="2"/>
  <c r="G36" i="2"/>
  <c r="H36" i="2"/>
  <c r="C36" i="2"/>
  <c r="D2" i="2"/>
  <c r="E2" i="2"/>
  <c r="F2" i="2"/>
  <c r="G2" i="2"/>
  <c r="H2" i="2"/>
  <c r="C2" i="2"/>
  <c r="A74" i="2"/>
  <c r="A73" i="2"/>
  <c r="C176" i="4"/>
  <c r="B176" i="4"/>
  <c r="G6" i="7" l="1"/>
  <c r="F6" i="7"/>
  <c r="E6" i="7"/>
  <c r="D6" i="7"/>
  <c r="C6" i="7"/>
  <c r="B6" i="7"/>
  <c r="G2" i="7"/>
  <c r="F2" i="7"/>
  <c r="E2" i="7"/>
  <c r="D2" i="7"/>
  <c r="C2" i="7"/>
  <c r="B2" i="7"/>
  <c r="A1" i="7"/>
  <c r="E33" i="6" l="1"/>
  <c r="D11" i="5" s="1"/>
  <c r="C5" i="6"/>
  <c r="B6" i="5" s="1"/>
  <c r="B10" i="5"/>
  <c r="G8" i="1"/>
  <c r="H8" i="1"/>
  <c r="I8" i="1"/>
  <c r="J8" i="1"/>
  <c r="K8" i="1"/>
  <c r="D9" i="5"/>
  <c r="E9" i="5"/>
  <c r="F9" i="5"/>
  <c r="G9" i="5"/>
  <c r="D10" i="5"/>
  <c r="E10" i="5"/>
  <c r="F10" i="5"/>
  <c r="G10" i="5"/>
  <c r="C9" i="5"/>
  <c r="C10" i="5"/>
  <c r="C9" i="6"/>
  <c r="B12" i="5" s="1"/>
  <c r="B3" i="5"/>
  <c r="B9" i="5"/>
  <c r="D5" i="6" l="1"/>
  <c r="E5" i="6" s="1"/>
  <c r="F5" i="6" s="1"/>
  <c r="G5" i="6" s="1"/>
  <c r="H5" i="6" s="1"/>
  <c r="B18" i="4"/>
  <c r="C18" i="4"/>
  <c r="D70" i="2"/>
  <c r="E70" i="2" s="1"/>
  <c r="A28" i="6"/>
  <c r="F9" i="1"/>
  <c r="F8" i="1"/>
  <c r="C33" i="6"/>
  <c r="D33" i="6"/>
  <c r="C11" i="5" s="1"/>
  <c r="F33" i="6"/>
  <c r="E11" i="5" s="1"/>
  <c r="G33" i="6"/>
  <c r="F11" i="5" s="1"/>
  <c r="H33" i="6"/>
  <c r="G11" i="5" s="1"/>
  <c r="A32" i="6"/>
  <c r="B39" i="6"/>
  <c r="B15" i="6" s="1"/>
  <c r="B11" i="5" l="1"/>
  <c r="C6" i="5"/>
  <c r="C29" i="6"/>
  <c r="D29" i="6" s="1"/>
  <c r="E29" i="6" s="1"/>
  <c r="E34" i="6" s="1"/>
  <c r="B17" i="6"/>
  <c r="C36" i="6"/>
  <c r="C39" i="6" s="1"/>
  <c r="B10" i="6"/>
  <c r="D9" i="6"/>
  <c r="A1" i="6"/>
  <c r="B86" i="3"/>
  <c r="F22" i="1"/>
  <c r="A1" i="5"/>
  <c r="C34" i="6" l="1"/>
  <c r="D8" i="5"/>
  <c r="F29" i="6"/>
  <c r="G29" i="6" s="1"/>
  <c r="H29" i="6" s="1"/>
  <c r="D6" i="5"/>
  <c r="E9" i="6"/>
  <c r="C12" i="5"/>
  <c r="D34" i="6"/>
  <c r="C8" i="5" s="1"/>
  <c r="C15" i="6"/>
  <c r="D36" i="6"/>
  <c r="D39" i="6" s="1"/>
  <c r="B6" i="6"/>
  <c r="B12" i="6" s="1"/>
  <c r="B18" i="6" s="1"/>
  <c r="H23" i="3"/>
  <c r="M172" i="4"/>
  <c r="L172" i="4"/>
  <c r="E176" i="4"/>
  <c r="C177" i="4" s="1"/>
  <c r="A175" i="4"/>
  <c r="A171" i="4"/>
  <c r="A157" i="4"/>
  <c r="A143" i="4"/>
  <c r="A129" i="4"/>
  <c r="A115" i="4"/>
  <c r="A101" i="4"/>
  <c r="A87" i="4"/>
  <c r="A73" i="4"/>
  <c r="A59" i="4"/>
  <c r="A45" i="4"/>
  <c r="A31" i="4"/>
  <c r="A1" i="4"/>
  <c r="D18" i="4"/>
  <c r="B19" i="4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F7" i="1"/>
  <c r="B74" i="2"/>
  <c r="D74" i="2" s="1"/>
  <c r="G9" i="1" s="1"/>
  <c r="B72" i="2"/>
  <c r="B30" i="2"/>
  <c r="B73" i="2"/>
  <c r="D73" i="2" s="1"/>
  <c r="A76" i="3"/>
  <c r="A77" i="3"/>
  <c r="A78" i="3"/>
  <c r="A79" i="3"/>
  <c r="A75" i="3"/>
  <c r="A83" i="3"/>
  <c r="B74" i="3"/>
  <c r="C74" i="3" s="1"/>
  <c r="D74" i="3" s="1"/>
  <c r="E74" i="3" s="1"/>
  <c r="F74" i="3" s="1"/>
  <c r="G74" i="3" s="1"/>
  <c r="H82" i="3"/>
  <c r="A16" i="3"/>
  <c r="A17" i="3"/>
  <c r="A18" i="3"/>
  <c r="A19" i="3"/>
  <c r="A15" i="3"/>
  <c r="A28" i="3"/>
  <c r="A11" i="3"/>
  <c r="A10" i="3"/>
  <c r="A23" i="3"/>
  <c r="I14" i="3"/>
  <c r="J14" i="3" s="1"/>
  <c r="K14" i="3" s="1"/>
  <c r="L14" i="3" s="1"/>
  <c r="M14" i="3" s="1"/>
  <c r="N14" i="3" s="1"/>
  <c r="B14" i="3"/>
  <c r="C14" i="3" s="1"/>
  <c r="D14" i="3" s="1"/>
  <c r="E14" i="3" s="1"/>
  <c r="F14" i="3" s="1"/>
  <c r="G14" i="3" s="1"/>
  <c r="I9" i="3"/>
  <c r="J9" i="3" s="1"/>
  <c r="K9" i="3" s="1"/>
  <c r="L9" i="3" s="1"/>
  <c r="M9" i="3" s="1"/>
  <c r="N9" i="3" s="1"/>
  <c r="B9" i="3"/>
  <c r="C9" i="3" s="1"/>
  <c r="D9" i="3" s="1"/>
  <c r="E9" i="3" s="1"/>
  <c r="F9" i="3" s="1"/>
  <c r="G9" i="3" s="1"/>
  <c r="B8" i="5" l="1"/>
  <c r="C8" i="6"/>
  <c r="E6" i="5"/>
  <c r="F9" i="6"/>
  <c r="D12" i="5"/>
  <c r="E74" i="2"/>
  <c r="F34" i="6"/>
  <c r="E8" i="5" s="1"/>
  <c r="E36" i="6"/>
  <c r="E39" i="6" s="1"/>
  <c r="D15" i="6"/>
  <c r="G7" i="1"/>
  <c r="E73" i="2"/>
  <c r="I176" i="4"/>
  <c r="J176" i="4" s="1"/>
  <c r="D176" i="4"/>
  <c r="B177" i="4" s="1"/>
  <c r="I18" i="4"/>
  <c r="J18" i="4" s="1"/>
  <c r="K18" i="4" s="1"/>
  <c r="E18" i="4"/>
  <c r="C19" i="4" s="1"/>
  <c r="A1" i="3"/>
  <c r="A1" i="2"/>
  <c r="I67" i="3"/>
  <c r="J67" i="3" s="1"/>
  <c r="K67" i="3" s="1"/>
  <c r="L67" i="3" s="1"/>
  <c r="M67" i="3" s="1"/>
  <c r="N67" i="3" s="1"/>
  <c r="O59" i="3"/>
  <c r="I59" i="3"/>
  <c r="J59" i="3" s="1"/>
  <c r="K59" i="3" s="1"/>
  <c r="L59" i="3" s="1"/>
  <c r="M59" i="3" s="1"/>
  <c r="N59" i="3" s="1"/>
  <c r="I51" i="3"/>
  <c r="J51" i="3" s="1"/>
  <c r="K51" i="3" s="1"/>
  <c r="L51" i="3" s="1"/>
  <c r="M51" i="3" s="1"/>
  <c r="N51" i="3" s="1"/>
  <c r="O44" i="3"/>
  <c r="O40" i="3"/>
  <c r="H44" i="3"/>
  <c r="I40" i="3"/>
  <c r="I39" i="3"/>
  <c r="J39" i="3" s="1"/>
  <c r="K39" i="3" s="1"/>
  <c r="L39" i="3" s="1"/>
  <c r="M39" i="3" s="1"/>
  <c r="N39" i="3" s="1"/>
  <c r="I48" i="3"/>
  <c r="I47" i="3"/>
  <c r="I46" i="3"/>
  <c r="I45" i="3"/>
  <c r="I44" i="3"/>
  <c r="I43" i="3"/>
  <c r="J43" i="3" s="1"/>
  <c r="K43" i="3" s="1"/>
  <c r="L43" i="3" s="1"/>
  <c r="M43" i="3" s="1"/>
  <c r="N43" i="3" s="1"/>
  <c r="H40" i="3"/>
  <c r="O27" i="3"/>
  <c r="I32" i="3"/>
  <c r="I31" i="3"/>
  <c r="I30" i="3"/>
  <c r="I29" i="3"/>
  <c r="I28" i="3"/>
  <c r="I27" i="3"/>
  <c r="J27" i="3" s="1"/>
  <c r="K27" i="3" s="1"/>
  <c r="L27" i="3" s="1"/>
  <c r="M27" i="3" s="1"/>
  <c r="N27" i="3" s="1"/>
  <c r="O23" i="3"/>
  <c r="I22" i="3"/>
  <c r="J22" i="3" s="1"/>
  <c r="K22" i="3" s="1"/>
  <c r="L22" i="3" s="1"/>
  <c r="M22" i="3" s="1"/>
  <c r="N22" i="3" s="1"/>
  <c r="B22" i="3"/>
  <c r="C22" i="3" s="1"/>
  <c r="D22" i="3" s="1"/>
  <c r="E22" i="3" s="1"/>
  <c r="F22" i="3" s="1"/>
  <c r="G22" i="3" s="1"/>
  <c r="I24" i="3"/>
  <c r="J24" i="3" s="1"/>
  <c r="K24" i="3" s="1"/>
  <c r="L24" i="3" s="1"/>
  <c r="M24" i="3" s="1"/>
  <c r="N24" i="3" s="1"/>
  <c r="I23" i="3"/>
  <c r="N3" i="3"/>
  <c r="N6" i="3" s="1"/>
  <c r="I64" i="3" s="1"/>
  <c r="K3" i="3"/>
  <c r="I60" i="3" s="1"/>
  <c r="J4" i="3"/>
  <c r="I41" i="3" s="1"/>
  <c r="C4" i="3"/>
  <c r="B41" i="3" s="1"/>
  <c r="B24" i="3"/>
  <c r="C24" i="3" s="1"/>
  <c r="D24" i="3" s="1"/>
  <c r="E24" i="3" s="1"/>
  <c r="F24" i="3" s="1"/>
  <c r="G24" i="3" s="1"/>
  <c r="C50" i="2"/>
  <c r="C51" i="2" s="1"/>
  <c r="B50" i="2"/>
  <c r="B52" i="2" s="1"/>
  <c r="C48" i="2"/>
  <c r="C46" i="2"/>
  <c r="B45" i="2"/>
  <c r="B47" i="2" s="1"/>
  <c r="D1" i="2"/>
  <c r="D7" i="2" s="1"/>
  <c r="C46" i="4" s="1"/>
  <c r="C34" i="2"/>
  <c r="C32" i="2"/>
  <c r="B31" i="2"/>
  <c r="B33" i="2" s="1"/>
  <c r="C20" i="2"/>
  <c r="C16" i="2"/>
  <c r="C4" i="2"/>
  <c r="B27" i="3"/>
  <c r="C27" i="3" s="1"/>
  <c r="D27" i="3" s="1"/>
  <c r="E27" i="3" s="1"/>
  <c r="F27" i="3" s="1"/>
  <c r="G27" i="3" s="1"/>
  <c r="B23" i="3"/>
  <c r="H59" i="3"/>
  <c r="B59" i="3"/>
  <c r="C59" i="3" s="1"/>
  <c r="D59" i="3" s="1"/>
  <c r="E59" i="3" s="1"/>
  <c r="F59" i="3" s="1"/>
  <c r="G59" i="3" s="1"/>
  <c r="B51" i="3"/>
  <c r="C51" i="3" s="1"/>
  <c r="D51" i="3" s="1"/>
  <c r="E51" i="3" s="1"/>
  <c r="F51" i="3" s="1"/>
  <c r="G51" i="3" s="1"/>
  <c r="A63" i="3"/>
  <c r="A64" i="3"/>
  <c r="A65" i="3"/>
  <c r="A62" i="3"/>
  <c r="A53" i="3"/>
  <c r="B89" i="3"/>
  <c r="C89" i="3" s="1"/>
  <c r="D89" i="3" s="1"/>
  <c r="E89" i="3" s="1"/>
  <c r="F89" i="3" s="1"/>
  <c r="G89" i="3" s="1"/>
  <c r="B82" i="3"/>
  <c r="C82" i="3" s="1"/>
  <c r="D82" i="3" s="1"/>
  <c r="E82" i="3" s="1"/>
  <c r="F82" i="3" s="1"/>
  <c r="G82" i="3" s="1"/>
  <c r="B67" i="3"/>
  <c r="C67" i="3" s="1"/>
  <c r="D67" i="3" s="1"/>
  <c r="E67" i="3" s="1"/>
  <c r="F67" i="3" s="1"/>
  <c r="G67" i="3" s="1"/>
  <c r="B43" i="3"/>
  <c r="C43" i="3" s="1"/>
  <c r="D43" i="3" s="1"/>
  <c r="E43" i="3" s="1"/>
  <c r="F43" i="3" s="1"/>
  <c r="G43" i="3" s="1"/>
  <c r="B39" i="3"/>
  <c r="C39" i="3" s="1"/>
  <c r="D39" i="3" s="1"/>
  <c r="E39" i="3" s="1"/>
  <c r="F39" i="3" s="1"/>
  <c r="G39" i="3" s="1"/>
  <c r="F12" i="1"/>
  <c r="G12" i="1" s="1"/>
  <c r="H12" i="1" s="1"/>
  <c r="I12" i="1" s="1"/>
  <c r="J12" i="1" s="1"/>
  <c r="K12" i="1" s="1"/>
  <c r="A91" i="3"/>
  <c r="A92" i="3"/>
  <c r="A93" i="3"/>
  <c r="A94" i="3"/>
  <c r="A95" i="3"/>
  <c r="A90" i="3"/>
  <c r="B84" i="3"/>
  <c r="B85" i="3"/>
  <c r="B87" i="3"/>
  <c r="B83" i="3"/>
  <c r="B45" i="3"/>
  <c r="B46" i="3"/>
  <c r="B47" i="3"/>
  <c r="B48" i="3"/>
  <c r="B44" i="3"/>
  <c r="P3" i="3"/>
  <c r="C86" i="3" s="1"/>
  <c r="D86" i="3" s="1"/>
  <c r="E86" i="3" s="1"/>
  <c r="F86" i="3" s="1"/>
  <c r="G86" i="3" s="1"/>
  <c r="H27" i="3"/>
  <c r="B40" i="3"/>
  <c r="A45" i="3"/>
  <c r="A46" i="3"/>
  <c r="A47" i="3"/>
  <c r="A48" i="3"/>
  <c r="A44" i="3"/>
  <c r="A40" i="3"/>
  <c r="A41" i="3"/>
  <c r="A54" i="3"/>
  <c r="A55" i="3"/>
  <c r="A56" i="3"/>
  <c r="A69" i="3"/>
  <c r="A70" i="3"/>
  <c r="A71" i="3"/>
  <c r="A72" i="3"/>
  <c r="A84" i="3"/>
  <c r="A85" i="3"/>
  <c r="A86" i="3"/>
  <c r="A87" i="3"/>
  <c r="A68" i="3"/>
  <c r="A52" i="3"/>
  <c r="A29" i="3"/>
  <c r="A30" i="3"/>
  <c r="A31" i="3"/>
  <c r="A32" i="3"/>
  <c r="A24" i="3"/>
  <c r="B29" i="3"/>
  <c r="B30" i="3"/>
  <c r="B31" i="3"/>
  <c r="B32" i="3"/>
  <c r="B28" i="3"/>
  <c r="G3" i="3"/>
  <c r="G6" i="3" s="1"/>
  <c r="B64" i="3" s="1"/>
  <c r="D3" i="3"/>
  <c r="B60" i="3" s="1"/>
  <c r="F3" i="1"/>
  <c r="D8" i="6" l="1"/>
  <c r="C10" i="6"/>
  <c r="G9" i="6"/>
  <c r="E12" i="5"/>
  <c r="G6" i="5"/>
  <c r="F6" i="5"/>
  <c r="B32" i="4"/>
  <c r="F176" i="4"/>
  <c r="H9" i="1"/>
  <c r="F74" i="2"/>
  <c r="C2" i="6"/>
  <c r="C28" i="6" s="1"/>
  <c r="B2" i="5"/>
  <c r="H34" i="6"/>
  <c r="G8" i="5" s="1"/>
  <c r="G34" i="6"/>
  <c r="F8" i="5" s="1"/>
  <c r="F36" i="6"/>
  <c r="F39" i="6" s="1"/>
  <c r="E15" i="6"/>
  <c r="C83" i="3"/>
  <c r="D83" i="3" s="1"/>
  <c r="E83" i="3" s="1"/>
  <c r="F83" i="3" s="1"/>
  <c r="G83" i="3" s="1"/>
  <c r="C87" i="3"/>
  <c r="D87" i="3" s="1"/>
  <c r="E87" i="3" s="1"/>
  <c r="F87" i="3" s="1"/>
  <c r="G87" i="3" s="1"/>
  <c r="B35" i="3"/>
  <c r="B36" i="3"/>
  <c r="C85" i="3"/>
  <c r="D85" i="3" s="1"/>
  <c r="E85" i="3" s="1"/>
  <c r="F85" i="3" s="1"/>
  <c r="G85" i="3" s="1"/>
  <c r="C84" i="3"/>
  <c r="D84" i="3" s="1"/>
  <c r="E84" i="3" s="1"/>
  <c r="F84" i="3" s="1"/>
  <c r="G84" i="3" s="1"/>
  <c r="C69" i="2"/>
  <c r="B52" i="3"/>
  <c r="E7" i="2"/>
  <c r="C74" i="4" s="1"/>
  <c r="E46" i="4"/>
  <c r="F73" i="2"/>
  <c r="H7" i="1"/>
  <c r="F18" i="4"/>
  <c r="I54" i="3"/>
  <c r="C23" i="3"/>
  <c r="I56" i="3"/>
  <c r="I71" i="3"/>
  <c r="I55" i="3"/>
  <c r="J23" i="3"/>
  <c r="K23" i="3" s="1"/>
  <c r="L23" i="3" s="1"/>
  <c r="M23" i="3" s="1"/>
  <c r="N23" i="3" s="1"/>
  <c r="J64" i="3"/>
  <c r="J60" i="3"/>
  <c r="I53" i="3"/>
  <c r="B53" i="3"/>
  <c r="J41" i="3"/>
  <c r="J40" i="3"/>
  <c r="K40" i="3" s="1"/>
  <c r="L40" i="3" s="1"/>
  <c r="M40" i="3" s="1"/>
  <c r="N40" i="3" s="1"/>
  <c r="I61" i="3"/>
  <c r="J61" i="3" s="1"/>
  <c r="K61" i="3" s="1"/>
  <c r="L61" i="3" s="1"/>
  <c r="M61" i="3" s="1"/>
  <c r="N61" i="3" s="1"/>
  <c r="J44" i="3"/>
  <c r="K44" i="3" s="1"/>
  <c r="L44" i="3" s="1"/>
  <c r="M44" i="3" s="1"/>
  <c r="N44" i="3" s="1"/>
  <c r="I52" i="3"/>
  <c r="J46" i="3"/>
  <c r="K46" i="3" s="1"/>
  <c r="L46" i="3" s="1"/>
  <c r="M46" i="3" s="1"/>
  <c r="N46" i="3" s="1"/>
  <c r="J48" i="3"/>
  <c r="K48" i="3" s="1"/>
  <c r="L48" i="3" s="1"/>
  <c r="M48" i="3" s="1"/>
  <c r="N48" i="3" s="1"/>
  <c r="J47" i="3"/>
  <c r="K47" i="3" s="1"/>
  <c r="L47" i="3" s="1"/>
  <c r="M47" i="3" s="1"/>
  <c r="N47" i="3" s="1"/>
  <c r="J45" i="3"/>
  <c r="K45" i="3" s="1"/>
  <c r="L45" i="3" s="1"/>
  <c r="M45" i="3" s="1"/>
  <c r="N45" i="3" s="1"/>
  <c r="C41" i="3"/>
  <c r="D41" i="3" s="1"/>
  <c r="E41" i="3" s="1"/>
  <c r="F41" i="3" s="1"/>
  <c r="G41" i="3" s="1"/>
  <c r="I33" i="3"/>
  <c r="J28" i="3" s="1"/>
  <c r="N7" i="3"/>
  <c r="I65" i="3" s="1"/>
  <c r="N5" i="3"/>
  <c r="I63" i="3" s="1"/>
  <c r="B71" i="3"/>
  <c r="N4" i="3"/>
  <c r="I62" i="3" s="1"/>
  <c r="B55" i="3"/>
  <c r="D45" i="2"/>
  <c r="D46" i="2" s="1"/>
  <c r="E45" i="2" s="1"/>
  <c r="E46" i="2" s="1"/>
  <c r="F45" i="2" s="1"/>
  <c r="F46" i="2" s="1"/>
  <c r="G45" i="2" s="1"/>
  <c r="G46" i="2" s="1"/>
  <c r="H45" i="2" s="1"/>
  <c r="H46" i="2" s="1"/>
  <c r="D31" i="2"/>
  <c r="D32" i="2" s="1"/>
  <c r="E31" i="2" s="1"/>
  <c r="D50" i="2"/>
  <c r="D47" i="2"/>
  <c r="D48" i="2" s="1"/>
  <c r="E47" i="2" s="1"/>
  <c r="E48" i="2" s="1"/>
  <c r="F47" i="2" s="1"/>
  <c r="F48" i="2" s="1"/>
  <c r="G47" i="2" s="1"/>
  <c r="G48" i="2" s="1"/>
  <c r="H47" i="2" s="1"/>
  <c r="H48" i="2" s="1"/>
  <c r="C52" i="2"/>
  <c r="B61" i="3"/>
  <c r="C61" i="3" s="1"/>
  <c r="D61" i="3" s="1"/>
  <c r="E61" i="3" s="1"/>
  <c r="F61" i="3" s="1"/>
  <c r="G61" i="3" s="1"/>
  <c r="D3" i="2"/>
  <c r="D33" i="2"/>
  <c r="D34" i="2" s="1"/>
  <c r="C17" i="2"/>
  <c r="B7" i="2"/>
  <c r="C8" i="2"/>
  <c r="C64" i="3"/>
  <c r="C60" i="3"/>
  <c r="B56" i="3"/>
  <c r="B54" i="3"/>
  <c r="C40" i="3"/>
  <c r="D40" i="3" s="1"/>
  <c r="E40" i="3" s="1"/>
  <c r="F40" i="3" s="1"/>
  <c r="G40" i="3" s="1"/>
  <c r="C46" i="3"/>
  <c r="D46" i="3" s="1"/>
  <c r="E46" i="3" s="1"/>
  <c r="F46" i="3" s="1"/>
  <c r="G46" i="3" s="1"/>
  <c r="C45" i="3"/>
  <c r="D45" i="3" s="1"/>
  <c r="E45" i="3" s="1"/>
  <c r="F45" i="3" s="1"/>
  <c r="G45" i="3" s="1"/>
  <c r="C44" i="3"/>
  <c r="D44" i="3" s="1"/>
  <c r="E44" i="3" s="1"/>
  <c r="F44" i="3" s="1"/>
  <c r="G44" i="3" s="1"/>
  <c r="C48" i="3"/>
  <c r="D48" i="3" s="1"/>
  <c r="E48" i="3" s="1"/>
  <c r="F48" i="3" s="1"/>
  <c r="G48" i="3" s="1"/>
  <c r="C47" i="3"/>
  <c r="D47" i="3" s="1"/>
  <c r="E47" i="3" s="1"/>
  <c r="F47" i="3" s="1"/>
  <c r="G47" i="3" s="1"/>
  <c r="B33" i="3"/>
  <c r="C28" i="3" s="1"/>
  <c r="G7" i="3"/>
  <c r="B65" i="3" s="1"/>
  <c r="B72" i="3" s="1"/>
  <c r="G4" i="3"/>
  <c r="B62" i="3" s="1"/>
  <c r="B69" i="3" s="1"/>
  <c r="G5" i="3"/>
  <c r="B63" i="3" s="1"/>
  <c r="B70" i="3" s="1"/>
  <c r="C55" i="2"/>
  <c r="G3" i="1"/>
  <c r="D69" i="2" s="1"/>
  <c r="B46" i="4" l="1"/>
  <c r="C47" i="4" s="1"/>
  <c r="E8" i="6"/>
  <c r="F8" i="6" s="1"/>
  <c r="G8" i="6" s="1"/>
  <c r="H8" i="6" s="1"/>
  <c r="D10" i="6"/>
  <c r="H9" i="6"/>
  <c r="G12" i="5" s="1"/>
  <c r="F12" i="5"/>
  <c r="B18" i="5"/>
  <c r="C2" i="5"/>
  <c r="C32" i="4"/>
  <c r="D32" i="4"/>
  <c r="H177" i="4"/>
  <c r="G177" i="4"/>
  <c r="O32" i="4"/>
  <c r="H19" i="4"/>
  <c r="G19" i="4"/>
  <c r="I9" i="1"/>
  <c r="G74" i="2"/>
  <c r="H74" i="2" s="1"/>
  <c r="B2" i="6"/>
  <c r="B32" i="6" s="1"/>
  <c r="C32" i="6"/>
  <c r="D2" i="6"/>
  <c r="D28" i="6" s="1"/>
  <c r="G36" i="6"/>
  <c r="G39" i="6" s="1"/>
  <c r="F15" i="6"/>
  <c r="D23" i="3"/>
  <c r="C36" i="3"/>
  <c r="C35" i="3"/>
  <c r="E3" i="2"/>
  <c r="A32" i="4"/>
  <c r="G73" i="2"/>
  <c r="I7" i="1"/>
  <c r="F7" i="2"/>
  <c r="C102" i="4" s="1"/>
  <c r="E74" i="4"/>
  <c r="E177" i="4"/>
  <c r="I177" i="4"/>
  <c r="J177" i="4" s="1"/>
  <c r="D177" i="4"/>
  <c r="E19" i="4"/>
  <c r="C29" i="3"/>
  <c r="C53" i="3" s="1"/>
  <c r="C30" i="3"/>
  <c r="C31" i="3"/>
  <c r="C71" i="3" s="1"/>
  <c r="C32" i="3"/>
  <c r="J29" i="3"/>
  <c r="J32" i="3"/>
  <c r="J31" i="3"/>
  <c r="J55" i="3" s="1"/>
  <c r="J30" i="3"/>
  <c r="I68" i="3"/>
  <c r="B93" i="3"/>
  <c r="F16" i="1" s="1"/>
  <c r="J63" i="3"/>
  <c r="I70" i="3"/>
  <c r="B92" i="3" s="1"/>
  <c r="F15" i="1" s="1"/>
  <c r="J62" i="3"/>
  <c r="I69" i="3"/>
  <c r="B91" i="3" s="1"/>
  <c r="F14" i="1" s="1"/>
  <c r="J65" i="3"/>
  <c r="I72" i="3"/>
  <c r="K60" i="3"/>
  <c r="K64" i="3"/>
  <c r="K41" i="3"/>
  <c r="J52" i="3"/>
  <c r="D51" i="2"/>
  <c r="C53" i="2"/>
  <c r="C65" i="3"/>
  <c r="D16" i="2"/>
  <c r="C62" i="3"/>
  <c r="B68" i="3"/>
  <c r="C63" i="3"/>
  <c r="D63" i="3" s="1"/>
  <c r="D4" i="2"/>
  <c r="E33" i="2"/>
  <c r="E34" i="2" s="1"/>
  <c r="E32" i="2"/>
  <c r="D20" i="2"/>
  <c r="C21" i="2"/>
  <c r="D8" i="2"/>
  <c r="D60" i="3"/>
  <c r="D64" i="3"/>
  <c r="C68" i="3"/>
  <c r="D55" i="2"/>
  <c r="H3" i="1"/>
  <c r="E69" i="2" s="1"/>
  <c r="B74" i="4" l="1"/>
  <c r="C75" i="4" s="1"/>
  <c r="B60" i="4"/>
  <c r="C20" i="4"/>
  <c r="B178" i="4"/>
  <c r="C178" i="4"/>
  <c r="E10" i="6"/>
  <c r="C18" i="5"/>
  <c r="D2" i="5"/>
  <c r="I32" i="4"/>
  <c r="J32" i="4" s="1"/>
  <c r="K32" i="4" s="1"/>
  <c r="E32" i="4"/>
  <c r="F32" i="4" s="1"/>
  <c r="H33" i="4" s="1"/>
  <c r="B33" i="4"/>
  <c r="D33" i="4" s="1"/>
  <c r="C60" i="4"/>
  <c r="E60" i="4" s="1"/>
  <c r="K9" i="1"/>
  <c r="J9" i="1"/>
  <c r="B28" i="6"/>
  <c r="E2" i="6"/>
  <c r="E28" i="6" s="1"/>
  <c r="D32" i="6"/>
  <c r="B94" i="3"/>
  <c r="F17" i="1" s="1"/>
  <c r="H36" i="6"/>
  <c r="H39" i="6" s="1"/>
  <c r="H15" i="6" s="1"/>
  <c r="G15" i="6"/>
  <c r="E23" i="3"/>
  <c r="D36" i="3"/>
  <c r="D35" i="3"/>
  <c r="F3" i="2"/>
  <c r="E16" i="2"/>
  <c r="N114" i="4"/>
  <c r="N58" i="4"/>
  <c r="N142" i="4"/>
  <c r="N44" i="4"/>
  <c r="N72" i="4"/>
  <c r="N30" i="4"/>
  <c r="N100" i="4"/>
  <c r="N16" i="4"/>
  <c r="N170" i="4"/>
  <c r="N128" i="4"/>
  <c r="N86" i="4"/>
  <c r="N156" i="4"/>
  <c r="D17" i="2"/>
  <c r="E4" i="2"/>
  <c r="G7" i="2"/>
  <c r="C130" i="4" s="1"/>
  <c r="E102" i="4"/>
  <c r="H73" i="2"/>
  <c r="K7" i="1" s="1"/>
  <c r="J7" i="1"/>
  <c r="D46" i="4"/>
  <c r="B47" i="4" s="1"/>
  <c r="I46" i="4"/>
  <c r="J46" i="4" s="1"/>
  <c r="K46" i="4" s="1"/>
  <c r="N32" i="4"/>
  <c r="F177" i="4"/>
  <c r="J54" i="3"/>
  <c r="J53" i="3"/>
  <c r="J56" i="3"/>
  <c r="B90" i="3"/>
  <c r="F13" i="1" s="1"/>
  <c r="J68" i="3"/>
  <c r="J71" i="3"/>
  <c r="K63" i="3"/>
  <c r="J70" i="3"/>
  <c r="L60" i="3"/>
  <c r="J72" i="3"/>
  <c r="K65" i="3"/>
  <c r="L64" i="3"/>
  <c r="K62" i="3"/>
  <c r="J69" i="3"/>
  <c r="L41" i="3"/>
  <c r="C52" i="3"/>
  <c r="J33" i="3"/>
  <c r="K28" i="3" s="1"/>
  <c r="C72" i="3"/>
  <c r="C69" i="3"/>
  <c r="D52" i="2"/>
  <c r="E50" i="2"/>
  <c r="C70" i="3"/>
  <c r="D62" i="3"/>
  <c r="E62" i="3" s="1"/>
  <c r="D65" i="3"/>
  <c r="E65" i="3" s="1"/>
  <c r="F33" i="2"/>
  <c r="F34" i="2" s="1"/>
  <c r="F31" i="2"/>
  <c r="F32" i="2" s="1"/>
  <c r="E20" i="2"/>
  <c r="D21" i="2"/>
  <c r="F20" i="2"/>
  <c r="E8" i="2"/>
  <c r="E63" i="3"/>
  <c r="E64" i="3"/>
  <c r="E60" i="3"/>
  <c r="C56" i="3"/>
  <c r="C54" i="3"/>
  <c r="C55" i="3"/>
  <c r="C33" i="3"/>
  <c r="I3" i="1"/>
  <c r="F69" i="2" s="1"/>
  <c r="E55" i="2"/>
  <c r="C61" i="4" l="1"/>
  <c r="D18" i="5"/>
  <c r="E2" i="5"/>
  <c r="C33" i="4"/>
  <c r="I33" i="4" s="1"/>
  <c r="J33" i="4" s="1"/>
  <c r="K33" i="4" s="1"/>
  <c r="G33" i="4"/>
  <c r="C88" i="4"/>
  <c r="E88" i="4" s="1"/>
  <c r="C116" i="4"/>
  <c r="E116" i="4" s="1"/>
  <c r="B116" i="4"/>
  <c r="B88" i="4"/>
  <c r="F4" i="2"/>
  <c r="B102" i="4"/>
  <c r="F46" i="4"/>
  <c r="H178" i="4"/>
  <c r="G178" i="4"/>
  <c r="C94" i="3"/>
  <c r="G17" i="1" s="1"/>
  <c r="F2" i="6"/>
  <c r="F28" i="6" s="1"/>
  <c r="E32" i="6"/>
  <c r="F23" i="3"/>
  <c r="E36" i="3"/>
  <c r="E35" i="3"/>
  <c r="A34" i="4"/>
  <c r="A47" i="4"/>
  <c r="A60" i="4"/>
  <c r="D19" i="4"/>
  <c r="B20" i="4" s="1"/>
  <c r="H7" i="2"/>
  <c r="E130" i="4"/>
  <c r="E17" i="2"/>
  <c r="D60" i="4"/>
  <c r="B61" i="4" s="1"/>
  <c r="I60" i="4"/>
  <c r="J60" i="4" s="1"/>
  <c r="K60" i="4" s="1"/>
  <c r="A33" i="4"/>
  <c r="A46" i="4"/>
  <c r="I74" i="4"/>
  <c r="J74" i="4" s="1"/>
  <c r="K74" i="4" s="1"/>
  <c r="D74" i="4"/>
  <c r="B75" i="4" s="1"/>
  <c r="G3" i="2"/>
  <c r="F16" i="2"/>
  <c r="I19" i="4"/>
  <c r="J19" i="4" s="1"/>
  <c r="K19" i="4" s="1"/>
  <c r="E178" i="4"/>
  <c r="K31" i="3"/>
  <c r="K29" i="3"/>
  <c r="K53" i="3" s="1"/>
  <c r="D28" i="3"/>
  <c r="D52" i="3" s="1"/>
  <c r="D29" i="3"/>
  <c r="D53" i="3" s="1"/>
  <c r="D32" i="3"/>
  <c r="D56" i="3" s="1"/>
  <c r="D31" i="3"/>
  <c r="D30" i="3"/>
  <c r="K32" i="3"/>
  <c r="K56" i="3" s="1"/>
  <c r="K30" i="3"/>
  <c r="K54" i="3" s="1"/>
  <c r="C90" i="3"/>
  <c r="G13" i="1" s="1"/>
  <c r="C93" i="3"/>
  <c r="B95" i="3"/>
  <c r="F18" i="1" s="1"/>
  <c r="C91" i="3"/>
  <c r="G14" i="1" s="1"/>
  <c r="L62" i="3"/>
  <c r="M64" i="3"/>
  <c r="L65" i="3"/>
  <c r="M60" i="3"/>
  <c r="C92" i="3"/>
  <c r="G15" i="1" s="1"/>
  <c r="L63" i="3"/>
  <c r="M41" i="3"/>
  <c r="E51" i="2"/>
  <c r="D53" i="2"/>
  <c r="G33" i="2"/>
  <c r="G34" i="2" s="1"/>
  <c r="G31" i="2"/>
  <c r="G32" i="2" s="1"/>
  <c r="E21" i="2"/>
  <c r="F8" i="2"/>
  <c r="F64" i="3"/>
  <c r="F63" i="3"/>
  <c r="F65" i="3"/>
  <c r="F62" i="3"/>
  <c r="F60" i="3"/>
  <c r="J3" i="1"/>
  <c r="F55" i="2"/>
  <c r="F17" i="2" l="1"/>
  <c r="E18" i="5"/>
  <c r="F2" i="5"/>
  <c r="C14" i="6"/>
  <c r="B7" i="5" s="1"/>
  <c r="B34" i="4"/>
  <c r="E33" i="4"/>
  <c r="C34" i="4" s="1"/>
  <c r="C158" i="4"/>
  <c r="E158" i="4" s="1"/>
  <c r="C89" i="4"/>
  <c r="G4" i="2"/>
  <c r="B130" i="4"/>
  <c r="C117" i="4"/>
  <c r="C179" i="4"/>
  <c r="C103" i="4"/>
  <c r="F74" i="4"/>
  <c r="F19" i="4"/>
  <c r="H20" i="4" s="1"/>
  <c r="F60" i="4"/>
  <c r="H47" i="4"/>
  <c r="G47" i="4"/>
  <c r="O46" i="4"/>
  <c r="G2" i="6"/>
  <c r="G28" i="6" s="1"/>
  <c r="F32" i="6"/>
  <c r="F10" i="6"/>
  <c r="K3" i="1"/>
  <c r="H69" i="2" s="1"/>
  <c r="G69" i="2"/>
  <c r="G23" i="3"/>
  <c r="F35" i="3"/>
  <c r="F36" i="3"/>
  <c r="D72" i="3"/>
  <c r="D94" i="3" s="1"/>
  <c r="A48" i="4"/>
  <c r="A74" i="4"/>
  <c r="A61" i="4"/>
  <c r="A35" i="4"/>
  <c r="E47" i="4"/>
  <c r="D47" i="4"/>
  <c r="I47" i="4"/>
  <c r="J47" i="4" s="1"/>
  <c r="K47" i="4" s="1"/>
  <c r="D88" i="4"/>
  <c r="B89" i="4" s="1"/>
  <c r="I88" i="4"/>
  <c r="J88" i="4" s="1"/>
  <c r="K88" i="4" s="1"/>
  <c r="D102" i="4"/>
  <c r="B103" i="4" s="1"/>
  <c r="I102" i="4"/>
  <c r="J102" i="4" s="1"/>
  <c r="K102" i="4" s="1"/>
  <c r="A88" i="4"/>
  <c r="A36" i="4"/>
  <c r="A75" i="4"/>
  <c r="A49" i="4"/>
  <c r="A62" i="4"/>
  <c r="H3" i="2"/>
  <c r="G16" i="2"/>
  <c r="I116" i="4"/>
  <c r="J116" i="4" s="1"/>
  <c r="K116" i="4" s="1"/>
  <c r="D116" i="4"/>
  <c r="B117" i="4" s="1"/>
  <c r="I178" i="4"/>
  <c r="J178" i="4" s="1"/>
  <c r="D178" i="4"/>
  <c r="B179" i="4" s="1"/>
  <c r="E20" i="4"/>
  <c r="K72" i="3"/>
  <c r="K70" i="3"/>
  <c r="M63" i="3"/>
  <c r="N60" i="3"/>
  <c r="K55" i="3"/>
  <c r="K71" i="3"/>
  <c r="K52" i="3"/>
  <c r="K68" i="3"/>
  <c r="M65" i="3"/>
  <c r="K69" i="3"/>
  <c r="M62" i="3"/>
  <c r="N64" i="3"/>
  <c r="N41" i="3"/>
  <c r="K33" i="3"/>
  <c r="E52" i="2"/>
  <c r="F50" i="2"/>
  <c r="D69" i="3"/>
  <c r="D68" i="3"/>
  <c r="D55" i="3"/>
  <c r="D71" i="3"/>
  <c r="D54" i="3"/>
  <c r="D70" i="3"/>
  <c r="H33" i="2"/>
  <c r="H34" i="2" s="1"/>
  <c r="H31" i="2"/>
  <c r="H32" i="2" s="1"/>
  <c r="G20" i="2"/>
  <c r="F21" i="2"/>
  <c r="G8" i="2"/>
  <c r="G60" i="3"/>
  <c r="G62" i="3"/>
  <c r="G65" i="3"/>
  <c r="G63" i="3"/>
  <c r="G64" i="3"/>
  <c r="C95" i="3"/>
  <c r="G18" i="1" s="1"/>
  <c r="G16" i="1"/>
  <c r="D33" i="3"/>
  <c r="G55" i="2"/>
  <c r="B144" i="4" l="1"/>
  <c r="D144" i="4" s="1"/>
  <c r="G17" i="2"/>
  <c r="F18" i="5"/>
  <c r="G2" i="5"/>
  <c r="G18" i="5" s="1"/>
  <c r="C17" i="6"/>
  <c r="F33" i="4"/>
  <c r="H34" i="4" s="1"/>
  <c r="C144" i="4"/>
  <c r="E144" i="4" s="1"/>
  <c r="C21" i="4"/>
  <c r="B48" i="4"/>
  <c r="H4" i="2"/>
  <c r="B158" i="4"/>
  <c r="C48" i="4"/>
  <c r="C131" i="4"/>
  <c r="G20" i="4"/>
  <c r="F116" i="4"/>
  <c r="F88" i="4"/>
  <c r="E34" i="4"/>
  <c r="H61" i="4"/>
  <c r="G61" i="4"/>
  <c r="N46" i="4"/>
  <c r="F178" i="4"/>
  <c r="H179" i="4" s="1"/>
  <c r="F102" i="4"/>
  <c r="H75" i="4"/>
  <c r="G75" i="4"/>
  <c r="I20" i="4"/>
  <c r="J20" i="4" s="1"/>
  <c r="K20" i="4" s="1"/>
  <c r="H17" i="1"/>
  <c r="H2" i="6"/>
  <c r="G32" i="6"/>
  <c r="H10" i="6"/>
  <c r="G10" i="6"/>
  <c r="D14" i="6"/>
  <c r="C7" i="5" s="1"/>
  <c r="D20" i="4"/>
  <c r="H55" i="2"/>
  <c r="G35" i="3"/>
  <c r="G36" i="3"/>
  <c r="A102" i="4"/>
  <c r="A89" i="4"/>
  <c r="A63" i="4"/>
  <c r="A76" i="4"/>
  <c r="A37" i="4"/>
  <c r="A50" i="4"/>
  <c r="I75" i="4"/>
  <c r="J75" i="4" s="1"/>
  <c r="K75" i="4" s="1"/>
  <c r="D75" i="4"/>
  <c r="F47" i="4"/>
  <c r="E75" i="4"/>
  <c r="A103" i="4"/>
  <c r="A90" i="4"/>
  <c r="A64" i="4"/>
  <c r="A77" i="4"/>
  <c r="A51" i="4"/>
  <c r="A116" i="4"/>
  <c r="A38" i="4"/>
  <c r="D130" i="4"/>
  <c r="B131" i="4" s="1"/>
  <c r="I130" i="4"/>
  <c r="J130" i="4" s="1"/>
  <c r="K130" i="4" s="1"/>
  <c r="H16" i="2"/>
  <c r="I61" i="4"/>
  <c r="J61" i="4" s="1"/>
  <c r="K61" i="4" s="1"/>
  <c r="D61" i="4"/>
  <c r="E61" i="4"/>
  <c r="E89" i="4"/>
  <c r="D34" i="4"/>
  <c r="I34" i="4"/>
  <c r="J34" i="4" s="1"/>
  <c r="K34" i="4" s="1"/>
  <c r="L28" i="3"/>
  <c r="L31" i="3"/>
  <c r="L32" i="3"/>
  <c r="L29" i="3"/>
  <c r="L30" i="3"/>
  <c r="E32" i="3"/>
  <c r="E72" i="3" s="1"/>
  <c r="E28" i="3"/>
  <c r="E29" i="3"/>
  <c r="E31" i="3"/>
  <c r="E30" i="3"/>
  <c r="D90" i="3"/>
  <c r="H13" i="1" s="1"/>
  <c r="N62" i="3"/>
  <c r="N65" i="3"/>
  <c r="D92" i="3"/>
  <c r="H15" i="1" s="1"/>
  <c r="D91" i="3"/>
  <c r="H14" i="1" s="1"/>
  <c r="N63" i="3"/>
  <c r="D93" i="3"/>
  <c r="H16" i="1" s="1"/>
  <c r="F51" i="2"/>
  <c r="E53" i="2"/>
  <c r="G21" i="2"/>
  <c r="H20" i="2"/>
  <c r="H8" i="2"/>
  <c r="C172" i="4" s="1"/>
  <c r="C145" i="4" l="1"/>
  <c r="B62" i="4"/>
  <c r="B172" i="4"/>
  <c r="D172" i="4" s="1"/>
  <c r="C35" i="4"/>
  <c r="E35" i="4" s="1"/>
  <c r="I144" i="4"/>
  <c r="J144" i="4" s="1"/>
  <c r="K144" i="4" s="1"/>
  <c r="C76" i="4"/>
  <c r="B145" i="4"/>
  <c r="G34" i="4"/>
  <c r="B35" i="4" s="1"/>
  <c r="H17" i="2"/>
  <c r="C62" i="4"/>
  <c r="C159" i="4"/>
  <c r="B76" i="4"/>
  <c r="B21" i="4"/>
  <c r="F20" i="4"/>
  <c r="H21" i="4" s="1"/>
  <c r="H117" i="4"/>
  <c r="G117" i="4"/>
  <c r="F130" i="4"/>
  <c r="F34" i="4"/>
  <c r="H35" i="4" s="1"/>
  <c r="F144" i="4"/>
  <c r="H103" i="4"/>
  <c r="G103" i="4"/>
  <c r="H89" i="4"/>
  <c r="C90" i="4" s="1"/>
  <c r="G89" i="4"/>
  <c r="G179" i="4"/>
  <c r="G48" i="4"/>
  <c r="H48" i="4"/>
  <c r="H32" i="6"/>
  <c r="H28" i="6"/>
  <c r="D17" i="6"/>
  <c r="A146" i="4"/>
  <c r="A93" i="4"/>
  <c r="D89" i="4"/>
  <c r="I89" i="4"/>
  <c r="J89" i="4" s="1"/>
  <c r="K89" i="4" s="1"/>
  <c r="I158" i="4"/>
  <c r="J158" i="4" s="1"/>
  <c r="K158" i="4" s="1"/>
  <c r="D158" i="4"/>
  <c r="B159" i="4" s="1"/>
  <c r="F75" i="4"/>
  <c r="D103" i="4"/>
  <c r="I103" i="4"/>
  <c r="J103" i="4" s="1"/>
  <c r="K103" i="4" s="1"/>
  <c r="H21" i="2"/>
  <c r="A79" i="4"/>
  <c r="A118" i="4"/>
  <c r="A53" i="4"/>
  <c r="A66" i="4"/>
  <c r="A40" i="4"/>
  <c r="A92" i="4"/>
  <c r="A131" i="4"/>
  <c r="A105" i="4"/>
  <c r="A144" i="4"/>
  <c r="D117" i="4"/>
  <c r="I117" i="4"/>
  <c r="J117" i="4" s="1"/>
  <c r="K117" i="4" s="1"/>
  <c r="E117" i="4"/>
  <c r="A91" i="4"/>
  <c r="A39" i="4"/>
  <c r="A78" i="4"/>
  <c r="A117" i="4"/>
  <c r="A52" i="4"/>
  <c r="A130" i="4"/>
  <c r="A104" i="4"/>
  <c r="A65" i="4"/>
  <c r="F61" i="4"/>
  <c r="E103" i="4"/>
  <c r="I179" i="4"/>
  <c r="J179" i="4" s="1"/>
  <c r="D179" i="4"/>
  <c r="E179" i="4"/>
  <c r="C180" i="4" s="1"/>
  <c r="O60" i="4"/>
  <c r="E71" i="3"/>
  <c r="E70" i="3"/>
  <c r="L52" i="3"/>
  <c r="L68" i="3"/>
  <c r="L56" i="3"/>
  <c r="L72" i="3"/>
  <c r="L55" i="3"/>
  <c r="L71" i="3"/>
  <c r="L53" i="3"/>
  <c r="L69" i="3"/>
  <c r="L54" i="3"/>
  <c r="L70" i="3"/>
  <c r="E69" i="3"/>
  <c r="E53" i="3"/>
  <c r="E68" i="3"/>
  <c r="E52" i="3"/>
  <c r="L33" i="3"/>
  <c r="M29" i="3" s="1"/>
  <c r="D95" i="3"/>
  <c r="H18" i="1" s="1"/>
  <c r="F52" i="2"/>
  <c r="G50" i="2"/>
  <c r="E55" i="3"/>
  <c r="E56" i="3"/>
  <c r="E54" i="3"/>
  <c r="E33" i="3"/>
  <c r="F31" i="3" s="1"/>
  <c r="B118" i="4" l="1"/>
  <c r="B90" i="4"/>
  <c r="C118" i="4"/>
  <c r="B104" i="4"/>
  <c r="C104" i="4"/>
  <c r="C36" i="4"/>
  <c r="B180" i="4"/>
  <c r="F89" i="4"/>
  <c r="H90" i="4" s="1"/>
  <c r="G21" i="4"/>
  <c r="G35" i="4"/>
  <c r="F158" i="4"/>
  <c r="H131" i="4"/>
  <c r="G131" i="4"/>
  <c r="N60" i="4"/>
  <c r="H145" i="4"/>
  <c r="G145" i="4"/>
  <c r="H76" i="4"/>
  <c r="G76" i="4"/>
  <c r="H62" i="4"/>
  <c r="G62" i="4"/>
  <c r="E94" i="3"/>
  <c r="I17" i="1" s="1"/>
  <c r="E14" i="6"/>
  <c r="D7" i="5" s="1"/>
  <c r="A68" i="4"/>
  <c r="A119" i="4"/>
  <c r="A106" i="4"/>
  <c r="A132" i="4"/>
  <c r="A67" i="4"/>
  <c r="A172" i="4"/>
  <c r="A107" i="4"/>
  <c r="A94" i="4"/>
  <c r="A55" i="4"/>
  <c r="A120" i="4"/>
  <c r="A133" i="4"/>
  <c r="A42" i="4"/>
  <c r="A159" i="4"/>
  <c r="A81" i="4"/>
  <c r="A158" i="4"/>
  <c r="A41" i="4"/>
  <c r="A80" i="4"/>
  <c r="A54" i="4"/>
  <c r="A145" i="4"/>
  <c r="E131" i="4"/>
  <c r="D131" i="4"/>
  <c r="I131" i="4"/>
  <c r="J131" i="4" s="1"/>
  <c r="K131" i="4" s="1"/>
  <c r="E172" i="4"/>
  <c r="F117" i="4"/>
  <c r="F103" i="4"/>
  <c r="I172" i="4"/>
  <c r="J172" i="4" s="1"/>
  <c r="K172" i="4" s="1"/>
  <c r="E76" i="4"/>
  <c r="E48" i="4"/>
  <c r="C49" i="4" s="1"/>
  <c r="I145" i="4"/>
  <c r="J145" i="4" s="1"/>
  <c r="K145" i="4" s="1"/>
  <c r="D145" i="4"/>
  <c r="B146" i="4" s="1"/>
  <c r="I48" i="4"/>
  <c r="J48" i="4" s="1"/>
  <c r="K48" i="4" s="1"/>
  <c r="D48" i="4"/>
  <c r="B49" i="4" s="1"/>
  <c r="E145" i="4"/>
  <c r="F179" i="4"/>
  <c r="E21" i="4"/>
  <c r="C22" i="4" s="1"/>
  <c r="D35" i="4"/>
  <c r="B36" i="4" s="1"/>
  <c r="I35" i="4"/>
  <c r="J35" i="4" s="1"/>
  <c r="K35" i="4" s="1"/>
  <c r="I21" i="4"/>
  <c r="J21" i="4" s="1"/>
  <c r="K21" i="4" s="1"/>
  <c r="D21" i="4"/>
  <c r="F32" i="3"/>
  <c r="F72" i="3" s="1"/>
  <c r="F28" i="3"/>
  <c r="F30" i="3"/>
  <c r="F70" i="3" s="1"/>
  <c r="M28" i="3"/>
  <c r="M30" i="3"/>
  <c r="M31" i="3"/>
  <c r="M32" i="3"/>
  <c r="F29" i="3"/>
  <c r="F53" i="3" s="1"/>
  <c r="M53" i="3"/>
  <c r="E93" i="3"/>
  <c r="I16" i="1" s="1"/>
  <c r="E92" i="3"/>
  <c r="I15" i="1" s="1"/>
  <c r="E90" i="3"/>
  <c r="E91" i="3"/>
  <c r="I14" i="1" s="1"/>
  <c r="G51" i="2"/>
  <c r="F53" i="2"/>
  <c r="B22" i="4" l="1"/>
  <c r="C77" i="4"/>
  <c r="C146" i="4"/>
  <c r="B132" i="4"/>
  <c r="C132" i="4"/>
  <c r="G90" i="4"/>
  <c r="F35" i="4"/>
  <c r="H36" i="4" s="1"/>
  <c r="G159" i="4"/>
  <c r="H159" i="4"/>
  <c r="H118" i="4"/>
  <c r="G118" i="4"/>
  <c r="H104" i="4"/>
  <c r="G104" i="4"/>
  <c r="H180" i="4"/>
  <c r="G180" i="4"/>
  <c r="E17" i="6"/>
  <c r="F131" i="4"/>
  <c r="F56" i="3"/>
  <c r="D159" i="4"/>
  <c r="I159" i="4"/>
  <c r="J159" i="4" s="1"/>
  <c r="K159" i="4" s="1"/>
  <c r="I76" i="4"/>
  <c r="J76" i="4" s="1"/>
  <c r="K76" i="4" s="1"/>
  <c r="D76" i="4"/>
  <c r="B77" i="4" s="1"/>
  <c r="F48" i="4"/>
  <c r="I90" i="4"/>
  <c r="J90" i="4" s="1"/>
  <c r="K90" i="4" s="1"/>
  <c r="D90" i="4"/>
  <c r="E159" i="4"/>
  <c r="E90" i="4"/>
  <c r="C91" i="4" s="1"/>
  <c r="F172" i="4"/>
  <c r="F145" i="4"/>
  <c r="I62" i="4"/>
  <c r="J62" i="4" s="1"/>
  <c r="K62" i="4" s="1"/>
  <c r="D62" i="4"/>
  <c r="B63" i="4" s="1"/>
  <c r="E62" i="4"/>
  <c r="C63" i="4" s="1"/>
  <c r="F21" i="4"/>
  <c r="M69" i="3"/>
  <c r="M55" i="3"/>
  <c r="M71" i="3"/>
  <c r="M54" i="3"/>
  <c r="M70" i="3"/>
  <c r="M52" i="3"/>
  <c r="M68" i="3"/>
  <c r="M56" i="3"/>
  <c r="M72" i="3"/>
  <c r="F68" i="3"/>
  <c r="F52" i="3"/>
  <c r="M33" i="3"/>
  <c r="N32" i="3" s="1"/>
  <c r="G52" i="2"/>
  <c r="H50" i="2"/>
  <c r="F55" i="3"/>
  <c r="F71" i="3"/>
  <c r="F69" i="3"/>
  <c r="I13" i="1"/>
  <c r="E95" i="3"/>
  <c r="I18" i="1" s="1"/>
  <c r="F54" i="3"/>
  <c r="F33" i="3"/>
  <c r="B160" i="4" l="1"/>
  <c r="B91" i="4"/>
  <c r="C160" i="4"/>
  <c r="G36" i="4"/>
  <c r="F76" i="4"/>
  <c r="G77" i="4" s="1"/>
  <c r="H172" i="4"/>
  <c r="G172" i="4"/>
  <c r="G132" i="4"/>
  <c r="H132" i="4"/>
  <c r="G146" i="4"/>
  <c r="H146" i="4"/>
  <c r="H22" i="4"/>
  <c r="G22" i="4"/>
  <c r="H49" i="4"/>
  <c r="G49" i="4"/>
  <c r="F94" i="3"/>
  <c r="J17" i="1" s="1"/>
  <c r="F14" i="6"/>
  <c r="E7" i="5" s="1"/>
  <c r="I132" i="4"/>
  <c r="J132" i="4" s="1"/>
  <c r="K132" i="4" s="1"/>
  <c r="F90" i="4"/>
  <c r="F62" i="4"/>
  <c r="D104" i="4"/>
  <c r="B105" i="4" s="1"/>
  <c r="I104" i="4"/>
  <c r="J104" i="4" s="1"/>
  <c r="K104" i="4" s="1"/>
  <c r="E118" i="4"/>
  <c r="C119" i="4" s="1"/>
  <c r="D132" i="4"/>
  <c r="B133" i="4" s="1"/>
  <c r="E104" i="4"/>
  <c r="C105" i="4" s="1"/>
  <c r="D118" i="4"/>
  <c r="B119" i="4" s="1"/>
  <c r="I118" i="4"/>
  <c r="J118" i="4" s="1"/>
  <c r="K118" i="4" s="1"/>
  <c r="F159" i="4"/>
  <c r="I180" i="4"/>
  <c r="J180" i="4" s="1"/>
  <c r="D180" i="4"/>
  <c r="B181" i="4" s="1"/>
  <c r="E180" i="4"/>
  <c r="C181" i="4" s="1"/>
  <c r="N74" i="4"/>
  <c r="D36" i="4"/>
  <c r="I36" i="4"/>
  <c r="J36" i="4" s="1"/>
  <c r="K36" i="4" s="1"/>
  <c r="E36" i="4"/>
  <c r="C37" i="4" s="1"/>
  <c r="O74" i="4"/>
  <c r="N29" i="3"/>
  <c r="N30" i="3"/>
  <c r="N28" i="3"/>
  <c r="N31" i="3"/>
  <c r="G31" i="3"/>
  <c r="G71" i="3" s="1"/>
  <c r="G28" i="3"/>
  <c r="G52" i="3" s="1"/>
  <c r="G30" i="3"/>
  <c r="G70" i="3" s="1"/>
  <c r="G32" i="3"/>
  <c r="G72" i="3" s="1"/>
  <c r="G29" i="3"/>
  <c r="F91" i="3"/>
  <c r="J14" i="1" s="1"/>
  <c r="F92" i="3"/>
  <c r="J15" i="1" s="1"/>
  <c r="F93" i="3"/>
  <c r="J16" i="1" s="1"/>
  <c r="F90" i="3"/>
  <c r="H51" i="2"/>
  <c r="G53" i="2"/>
  <c r="B37" i="4" l="1"/>
  <c r="H77" i="4"/>
  <c r="H91" i="4"/>
  <c r="G91" i="4"/>
  <c r="E63" i="4"/>
  <c r="G63" i="4"/>
  <c r="H63" i="4"/>
  <c r="H160" i="4"/>
  <c r="G160" i="4"/>
  <c r="F17" i="6"/>
  <c r="E132" i="4"/>
  <c r="C133" i="4" s="1"/>
  <c r="D91" i="4"/>
  <c r="F104" i="4"/>
  <c r="D49" i="4"/>
  <c r="B50" i="4" s="1"/>
  <c r="I49" i="4"/>
  <c r="J49" i="4" s="1"/>
  <c r="K49" i="4" s="1"/>
  <c r="I146" i="4"/>
  <c r="J146" i="4" s="1"/>
  <c r="K146" i="4" s="1"/>
  <c r="D146" i="4"/>
  <c r="B147" i="4" s="1"/>
  <c r="E49" i="4"/>
  <c r="C50" i="4" s="1"/>
  <c r="E146" i="4"/>
  <c r="C147" i="4" s="1"/>
  <c r="E91" i="4"/>
  <c r="F118" i="4"/>
  <c r="E160" i="4"/>
  <c r="C161" i="4" s="1"/>
  <c r="I77" i="4"/>
  <c r="J77" i="4" s="1"/>
  <c r="K77" i="4" s="1"/>
  <c r="D77" i="4"/>
  <c r="B78" i="4" s="1"/>
  <c r="E77" i="4"/>
  <c r="F180" i="4"/>
  <c r="F36" i="4"/>
  <c r="D22" i="4"/>
  <c r="B23" i="4" s="1"/>
  <c r="I22" i="4"/>
  <c r="J22" i="4" s="1"/>
  <c r="K22" i="4" s="1"/>
  <c r="E22" i="4"/>
  <c r="C23" i="4" s="1"/>
  <c r="N56" i="3"/>
  <c r="N72" i="3"/>
  <c r="N52" i="3"/>
  <c r="N68" i="3"/>
  <c r="N55" i="3"/>
  <c r="N71" i="3"/>
  <c r="N53" i="3"/>
  <c r="N69" i="3"/>
  <c r="N54" i="3"/>
  <c r="N70" i="3"/>
  <c r="G69" i="3"/>
  <c r="G53" i="3"/>
  <c r="G68" i="3"/>
  <c r="N33" i="3"/>
  <c r="H52" i="2"/>
  <c r="G56" i="3"/>
  <c r="G94" i="3" s="1"/>
  <c r="G55" i="3"/>
  <c r="G54" i="3"/>
  <c r="F95" i="3"/>
  <c r="J18" i="1" s="1"/>
  <c r="J13" i="1"/>
  <c r="G33" i="3"/>
  <c r="C92" i="4" l="1"/>
  <c r="C78" i="4"/>
  <c r="B92" i="4"/>
  <c r="C64" i="4"/>
  <c r="F132" i="4"/>
  <c r="H119" i="4"/>
  <c r="G119" i="4"/>
  <c r="H133" i="4"/>
  <c r="G133" i="4"/>
  <c r="H37" i="4"/>
  <c r="G37" i="4"/>
  <c r="H181" i="4"/>
  <c r="G181" i="4"/>
  <c r="E105" i="4"/>
  <c r="H105" i="4"/>
  <c r="G105" i="4"/>
  <c r="I63" i="4"/>
  <c r="J63" i="4" s="1"/>
  <c r="K63" i="4" s="1"/>
  <c r="G14" i="6"/>
  <c r="F7" i="5" s="1"/>
  <c r="D105" i="4"/>
  <c r="I91" i="4"/>
  <c r="J91" i="4" s="1"/>
  <c r="K91" i="4" s="1"/>
  <c r="D63" i="4"/>
  <c r="B64" i="4" s="1"/>
  <c r="I160" i="4"/>
  <c r="J160" i="4" s="1"/>
  <c r="K160" i="4" s="1"/>
  <c r="D160" i="4"/>
  <c r="B161" i="4" s="1"/>
  <c r="D133" i="4"/>
  <c r="B134" i="4" s="1"/>
  <c r="I133" i="4"/>
  <c r="J133" i="4" s="1"/>
  <c r="K133" i="4" s="1"/>
  <c r="F146" i="4"/>
  <c r="F91" i="4"/>
  <c r="F77" i="4"/>
  <c r="F49" i="4"/>
  <c r="F22" i="4"/>
  <c r="G91" i="3"/>
  <c r="K14" i="1" s="1"/>
  <c r="G90" i="3"/>
  <c r="K13" i="1" s="1"/>
  <c r="G92" i="3"/>
  <c r="K15" i="1" s="1"/>
  <c r="G93" i="3"/>
  <c r="K16" i="1" s="1"/>
  <c r="H53" i="2"/>
  <c r="K17" i="1"/>
  <c r="B106" i="4" l="1"/>
  <c r="C106" i="4"/>
  <c r="F160" i="4"/>
  <c r="H161" i="4" s="1"/>
  <c r="F63" i="4"/>
  <c r="H64" i="4" s="1"/>
  <c r="I64" i="4"/>
  <c r="J64" i="4" s="1"/>
  <c r="K64" i="4" s="1"/>
  <c r="E133" i="4"/>
  <c r="C134" i="4" s="1"/>
  <c r="H23" i="4"/>
  <c r="G23" i="4"/>
  <c r="H92" i="4"/>
  <c r="G92" i="4"/>
  <c r="H147" i="4"/>
  <c r="G147" i="4"/>
  <c r="H50" i="4"/>
  <c r="G50" i="4"/>
  <c r="H78" i="4"/>
  <c r="G78" i="4"/>
  <c r="E64" i="4"/>
  <c r="G17" i="6"/>
  <c r="I105" i="4"/>
  <c r="J105" i="4" s="1"/>
  <c r="K105" i="4" s="1"/>
  <c r="D64" i="4"/>
  <c r="D119" i="4"/>
  <c r="B120" i="4" s="1"/>
  <c r="I119" i="4"/>
  <c r="J119" i="4" s="1"/>
  <c r="K119" i="4" s="1"/>
  <c r="E147" i="4"/>
  <c r="E119" i="4"/>
  <c r="C120" i="4" s="1"/>
  <c r="E161" i="4"/>
  <c r="E50" i="4"/>
  <c r="F105" i="4"/>
  <c r="I181" i="4"/>
  <c r="J181" i="4" s="1"/>
  <c r="D181" i="4"/>
  <c r="B182" i="4" s="1"/>
  <c r="E181" i="4"/>
  <c r="C182" i="4" s="1"/>
  <c r="D37" i="4"/>
  <c r="B38" i="4" s="1"/>
  <c r="I37" i="4"/>
  <c r="O88" i="4"/>
  <c r="N88" i="4"/>
  <c r="G95" i="3"/>
  <c r="K18" i="1" s="1"/>
  <c r="C65" i="4" l="1"/>
  <c r="C148" i="4"/>
  <c r="C162" i="4"/>
  <c r="C51" i="4"/>
  <c r="G161" i="4"/>
  <c r="E134" i="4"/>
  <c r="F133" i="4"/>
  <c r="G64" i="4"/>
  <c r="B65" i="4" s="1"/>
  <c r="H106" i="4"/>
  <c r="G106" i="4"/>
  <c r="H14" i="6"/>
  <c r="G7" i="5" s="1"/>
  <c r="F64" i="4"/>
  <c r="F119" i="4"/>
  <c r="D161" i="4"/>
  <c r="I161" i="4"/>
  <c r="J161" i="4" s="1"/>
  <c r="K161" i="4" s="1"/>
  <c r="D134" i="4"/>
  <c r="I134" i="4"/>
  <c r="J134" i="4" s="1"/>
  <c r="K134" i="4" s="1"/>
  <c r="I147" i="4"/>
  <c r="J147" i="4" s="1"/>
  <c r="K147" i="4" s="1"/>
  <c r="D147" i="4"/>
  <c r="B148" i="4" s="1"/>
  <c r="E78" i="4"/>
  <c r="C79" i="4" s="1"/>
  <c r="I78" i="4"/>
  <c r="J78" i="4" s="1"/>
  <c r="K78" i="4" s="1"/>
  <c r="D78" i="4"/>
  <c r="B79" i="4" s="1"/>
  <c r="D50" i="4"/>
  <c r="B51" i="4" s="1"/>
  <c r="I50" i="4"/>
  <c r="J50" i="4" s="1"/>
  <c r="K50" i="4" s="1"/>
  <c r="D92" i="4"/>
  <c r="B93" i="4" s="1"/>
  <c r="I92" i="4"/>
  <c r="J92" i="4" s="1"/>
  <c r="K92" i="4" s="1"/>
  <c r="E92" i="4"/>
  <c r="C93" i="4" s="1"/>
  <c r="F181" i="4"/>
  <c r="J37" i="4"/>
  <c r="K37" i="4" s="1"/>
  <c r="E37" i="4"/>
  <c r="C38" i="4" s="1"/>
  <c r="D23" i="4"/>
  <c r="B24" i="4" s="1"/>
  <c r="I23" i="4"/>
  <c r="J23" i="4" s="1"/>
  <c r="K23" i="4" s="1"/>
  <c r="E23" i="4"/>
  <c r="C24" i="4" s="1"/>
  <c r="B162" i="4" l="1"/>
  <c r="F161" i="4"/>
  <c r="H162" i="4" s="1"/>
  <c r="F50" i="4"/>
  <c r="H51" i="4" s="1"/>
  <c r="F37" i="4"/>
  <c r="G38" i="4" s="1"/>
  <c r="G134" i="4"/>
  <c r="B135" i="4" s="1"/>
  <c r="H134" i="4"/>
  <c r="C135" i="4" s="1"/>
  <c r="F147" i="4"/>
  <c r="H148" i="4" s="1"/>
  <c r="F134" i="4"/>
  <c r="H135" i="4" s="1"/>
  <c r="H182" i="4"/>
  <c r="G182" i="4"/>
  <c r="D120" i="4"/>
  <c r="H120" i="4"/>
  <c r="G120" i="4"/>
  <c r="E65" i="4"/>
  <c r="H65" i="4"/>
  <c r="G65" i="4"/>
  <c r="H17" i="6"/>
  <c r="I120" i="4"/>
  <c r="J120" i="4" s="1"/>
  <c r="K120" i="4" s="1"/>
  <c r="F78" i="4"/>
  <c r="E106" i="4"/>
  <c r="C107" i="4" s="1"/>
  <c r="D106" i="4"/>
  <c r="B107" i="4" s="1"/>
  <c r="I106" i="4"/>
  <c r="J106" i="4" s="1"/>
  <c r="K106" i="4" s="1"/>
  <c r="E162" i="4"/>
  <c r="E148" i="4"/>
  <c r="F92" i="4"/>
  <c r="E38" i="4"/>
  <c r="F23" i="4"/>
  <c r="G162" i="4" l="1"/>
  <c r="B121" i="4"/>
  <c r="C163" i="4"/>
  <c r="C149" i="4"/>
  <c r="C66" i="4"/>
  <c r="G51" i="4"/>
  <c r="G135" i="4"/>
  <c r="E135" i="4"/>
  <c r="C136" i="4" s="1"/>
  <c r="H38" i="4"/>
  <c r="C39" i="4" s="1"/>
  <c r="G148" i="4"/>
  <c r="H79" i="4"/>
  <c r="G79" i="4"/>
  <c r="H93" i="4"/>
  <c r="G93" i="4"/>
  <c r="I65" i="4"/>
  <c r="J65" i="4" s="1"/>
  <c r="K65" i="4" s="1"/>
  <c r="H24" i="4"/>
  <c r="G24" i="4"/>
  <c r="F106" i="4"/>
  <c r="E120" i="4"/>
  <c r="C121" i="4" s="1"/>
  <c r="I79" i="4"/>
  <c r="J79" i="4" s="1"/>
  <c r="K79" i="4" s="1"/>
  <c r="D65" i="4"/>
  <c r="B66" i="4" s="1"/>
  <c r="D79" i="4"/>
  <c r="I135" i="4"/>
  <c r="J135" i="4" s="1"/>
  <c r="K135" i="4" s="1"/>
  <c r="D135" i="4"/>
  <c r="B136" i="4" s="1"/>
  <c r="I51" i="4"/>
  <c r="J51" i="4" s="1"/>
  <c r="K51" i="4" s="1"/>
  <c r="D51" i="4"/>
  <c r="I148" i="4"/>
  <c r="J148" i="4" s="1"/>
  <c r="K148" i="4" s="1"/>
  <c r="D148" i="4"/>
  <c r="E51" i="4"/>
  <c r="C52" i="4" s="1"/>
  <c r="D162" i="4"/>
  <c r="F162" i="4" s="1"/>
  <c r="I162" i="4"/>
  <c r="J162" i="4" s="1"/>
  <c r="K162" i="4" s="1"/>
  <c r="D182" i="4"/>
  <c r="B183" i="4" s="1"/>
  <c r="I182" i="4"/>
  <c r="J182" i="4" s="1"/>
  <c r="E182" i="4"/>
  <c r="C183" i="4" s="1"/>
  <c r="D38" i="4"/>
  <c r="B39" i="4" s="1"/>
  <c r="I38" i="4"/>
  <c r="J38" i="4" s="1"/>
  <c r="K38" i="4" s="1"/>
  <c r="B52" i="4" l="1"/>
  <c r="B163" i="4"/>
  <c r="B149" i="4"/>
  <c r="B80" i="4"/>
  <c r="F135" i="4"/>
  <c r="H136" i="4" s="1"/>
  <c r="F148" i="4"/>
  <c r="G149" i="4" s="1"/>
  <c r="F120" i="4"/>
  <c r="H121" i="4" s="1"/>
  <c r="F65" i="4"/>
  <c r="H66" i="4" s="1"/>
  <c r="H107" i="4"/>
  <c r="G107" i="4"/>
  <c r="H163" i="4"/>
  <c r="G163" i="4"/>
  <c r="F51" i="4"/>
  <c r="D121" i="4"/>
  <c r="E121" i="4"/>
  <c r="E79" i="4"/>
  <c r="C80" i="4" s="1"/>
  <c r="E66" i="4"/>
  <c r="D107" i="4"/>
  <c r="I107" i="4"/>
  <c r="J107" i="4" s="1"/>
  <c r="K107" i="4" s="1"/>
  <c r="E136" i="4"/>
  <c r="E163" i="4"/>
  <c r="I93" i="4"/>
  <c r="J93" i="4" s="1"/>
  <c r="K93" i="4" s="1"/>
  <c r="D93" i="4"/>
  <c r="B94" i="4" s="1"/>
  <c r="E93" i="4"/>
  <c r="C94" i="4" s="1"/>
  <c r="E149" i="4"/>
  <c r="D66" i="4"/>
  <c r="I66" i="4"/>
  <c r="J66" i="4" s="1"/>
  <c r="K66" i="4" s="1"/>
  <c r="E107" i="4"/>
  <c r="F182" i="4"/>
  <c r="F38" i="4"/>
  <c r="I24" i="4"/>
  <c r="J24" i="4" s="1"/>
  <c r="K24" i="4" s="1"/>
  <c r="D24" i="4"/>
  <c r="B25" i="4" s="1"/>
  <c r="E24" i="4"/>
  <c r="C25" i="4" s="1"/>
  <c r="G121" i="4" l="1"/>
  <c r="C137" i="4"/>
  <c r="C164" i="4"/>
  <c r="C67" i="4"/>
  <c r="C122" i="4"/>
  <c r="B122" i="4"/>
  <c r="B108" i="4"/>
  <c r="C108" i="4"/>
  <c r="G66" i="4"/>
  <c r="B67" i="4" s="1"/>
  <c r="H149" i="4"/>
  <c r="C150" i="4" s="1"/>
  <c r="G136" i="4"/>
  <c r="F79" i="4"/>
  <c r="H80" i="4" s="1"/>
  <c r="H52" i="4"/>
  <c r="G52" i="4"/>
  <c r="H183" i="4"/>
  <c r="G183" i="4"/>
  <c r="H39" i="4"/>
  <c r="G39" i="4"/>
  <c r="F66" i="4"/>
  <c r="F121" i="4"/>
  <c r="I121" i="4"/>
  <c r="J121" i="4" s="1"/>
  <c r="K121" i="4" s="1"/>
  <c r="E52" i="4"/>
  <c r="I136" i="4"/>
  <c r="J136" i="4" s="1"/>
  <c r="K136" i="4" s="1"/>
  <c r="D136" i="4"/>
  <c r="I52" i="4"/>
  <c r="J52" i="4" s="1"/>
  <c r="K52" i="4" s="1"/>
  <c r="D52" i="4"/>
  <c r="D163" i="4"/>
  <c r="F163" i="4" s="1"/>
  <c r="I163" i="4"/>
  <c r="J163" i="4" s="1"/>
  <c r="K163" i="4" s="1"/>
  <c r="F93" i="4"/>
  <c r="I149" i="4"/>
  <c r="J149" i="4" s="1"/>
  <c r="K149" i="4" s="1"/>
  <c r="D149" i="4"/>
  <c r="F149" i="4" s="1"/>
  <c r="F107" i="4"/>
  <c r="F24" i="4"/>
  <c r="B137" i="4" l="1"/>
  <c r="B164" i="4"/>
  <c r="B150" i="4"/>
  <c r="B53" i="4"/>
  <c r="C53" i="4"/>
  <c r="G80" i="4"/>
  <c r="F136" i="4"/>
  <c r="G137" i="4" s="1"/>
  <c r="E122" i="4"/>
  <c r="G122" i="4"/>
  <c r="H122" i="4"/>
  <c r="E67" i="4"/>
  <c r="H67" i="4"/>
  <c r="G67" i="4"/>
  <c r="H150" i="4"/>
  <c r="G150" i="4"/>
  <c r="H94" i="4"/>
  <c r="G94" i="4"/>
  <c r="G164" i="4"/>
  <c r="H164" i="4"/>
  <c r="G108" i="4"/>
  <c r="H108" i="4"/>
  <c r="H25" i="4"/>
  <c r="G25" i="4"/>
  <c r="F52" i="4"/>
  <c r="E108" i="4"/>
  <c r="E137" i="4"/>
  <c r="E164" i="4"/>
  <c r="I122" i="4"/>
  <c r="J122" i="4" s="1"/>
  <c r="K122" i="4" s="1"/>
  <c r="D122" i="4"/>
  <c r="I80" i="4"/>
  <c r="J80" i="4" s="1"/>
  <c r="K80" i="4" s="1"/>
  <c r="D80" i="4"/>
  <c r="E150" i="4"/>
  <c r="E80" i="4"/>
  <c r="C81" i="4" s="1"/>
  <c r="E183" i="4"/>
  <c r="C184" i="4" s="1"/>
  <c r="D183" i="4"/>
  <c r="B184" i="4" s="1"/>
  <c r="I183" i="4"/>
  <c r="J183" i="4" s="1"/>
  <c r="D39" i="4"/>
  <c r="B40" i="4" s="1"/>
  <c r="N102" i="4"/>
  <c r="C109" i="4" l="1"/>
  <c r="B81" i="4"/>
  <c r="C151" i="4"/>
  <c r="C68" i="4"/>
  <c r="B123" i="4"/>
  <c r="C165" i="4"/>
  <c r="C123" i="4"/>
  <c r="F122" i="4"/>
  <c r="H123" i="4" s="1"/>
  <c r="H137" i="4"/>
  <c r="C138" i="4" s="1"/>
  <c r="G53" i="4"/>
  <c r="H53" i="4"/>
  <c r="D67" i="4"/>
  <c r="B68" i="4" s="1"/>
  <c r="I67" i="4"/>
  <c r="J67" i="4" s="1"/>
  <c r="K67" i="4" s="1"/>
  <c r="I137" i="4"/>
  <c r="J137" i="4" s="1"/>
  <c r="K137" i="4" s="1"/>
  <c r="D137" i="4"/>
  <c r="B138" i="4" s="1"/>
  <c r="D108" i="4"/>
  <c r="B109" i="4" s="1"/>
  <c r="I108" i="4"/>
  <c r="J108" i="4" s="1"/>
  <c r="K108" i="4" s="1"/>
  <c r="I53" i="4"/>
  <c r="J53" i="4" s="1"/>
  <c r="K53" i="4" s="1"/>
  <c r="D53" i="4"/>
  <c r="F80" i="4"/>
  <c r="E53" i="4"/>
  <c r="D150" i="4"/>
  <c r="B151" i="4" s="1"/>
  <c r="I150" i="4"/>
  <c r="J150" i="4" s="1"/>
  <c r="K150" i="4" s="1"/>
  <c r="D94" i="4"/>
  <c r="B95" i="4" s="1"/>
  <c r="I94" i="4"/>
  <c r="J94" i="4" s="1"/>
  <c r="K94" i="4" s="1"/>
  <c r="E25" i="4"/>
  <c r="C26" i="4" s="1"/>
  <c r="O102" i="4"/>
  <c r="E94" i="4"/>
  <c r="C95" i="4" s="1"/>
  <c r="E39" i="4"/>
  <c r="C40" i="4" s="1"/>
  <c r="D164" i="4"/>
  <c r="B165" i="4" s="1"/>
  <c r="I164" i="4"/>
  <c r="J164" i="4" s="1"/>
  <c r="K164" i="4" s="1"/>
  <c r="F183" i="4"/>
  <c r="I39" i="4"/>
  <c r="J39" i="4" s="1"/>
  <c r="K39" i="4" s="1"/>
  <c r="D25" i="4"/>
  <c r="B26" i="4" s="1"/>
  <c r="I25" i="4"/>
  <c r="J25" i="4" s="1"/>
  <c r="K25" i="4" s="1"/>
  <c r="C54" i="4" l="1"/>
  <c r="B54" i="4"/>
  <c r="E123" i="4"/>
  <c r="C124" i="4" s="1"/>
  <c r="F137" i="4"/>
  <c r="F164" i="4"/>
  <c r="H165" i="4" s="1"/>
  <c r="G123" i="4"/>
  <c r="F67" i="4"/>
  <c r="G68" i="4" s="1"/>
  <c r="F150" i="4"/>
  <c r="G151" i="4" s="1"/>
  <c r="F108" i="4"/>
  <c r="G109" i="4" s="1"/>
  <c r="G138" i="4"/>
  <c r="H138" i="4"/>
  <c r="H184" i="4"/>
  <c r="G184" i="4"/>
  <c r="D68" i="4"/>
  <c r="H81" i="4"/>
  <c r="G81" i="4"/>
  <c r="F53" i="4"/>
  <c r="E109" i="4"/>
  <c r="F94" i="4"/>
  <c r="E165" i="4"/>
  <c r="C166" i="4" s="1"/>
  <c r="I123" i="4"/>
  <c r="J123" i="4" s="1"/>
  <c r="K123" i="4" s="1"/>
  <c r="D123" i="4"/>
  <c r="E138" i="4"/>
  <c r="E151" i="4"/>
  <c r="E184" i="4"/>
  <c r="E68" i="4"/>
  <c r="F39" i="4"/>
  <c r="F25" i="4"/>
  <c r="C139" i="4" l="1"/>
  <c r="B69" i="4"/>
  <c r="C185" i="4"/>
  <c r="G165" i="4"/>
  <c r="F123" i="4"/>
  <c r="H124" i="4" s="1"/>
  <c r="B124" i="4"/>
  <c r="H68" i="4"/>
  <c r="C69" i="4" s="1"/>
  <c r="H151" i="4"/>
  <c r="C152" i="4" s="1"/>
  <c r="H109" i="4"/>
  <c r="C110" i="4" s="1"/>
  <c r="I68" i="4"/>
  <c r="J68" i="4" s="1"/>
  <c r="K68" i="4" s="1"/>
  <c r="H40" i="4"/>
  <c r="G40" i="4"/>
  <c r="G95" i="4"/>
  <c r="H95" i="4"/>
  <c r="G54" i="4"/>
  <c r="H54" i="4"/>
  <c r="H26" i="4"/>
  <c r="G26" i="4"/>
  <c r="D151" i="4"/>
  <c r="B152" i="4" s="1"/>
  <c r="I151" i="4"/>
  <c r="J151" i="4" s="1"/>
  <c r="K151" i="4" s="1"/>
  <c r="I81" i="4"/>
  <c r="J81" i="4" s="1"/>
  <c r="K81" i="4" s="1"/>
  <c r="D81" i="4"/>
  <c r="B82" i="4" s="1"/>
  <c r="D138" i="4"/>
  <c r="B139" i="4" s="1"/>
  <c r="I138" i="4"/>
  <c r="J138" i="4" s="1"/>
  <c r="K138" i="4" s="1"/>
  <c r="I109" i="4"/>
  <c r="J109" i="4" s="1"/>
  <c r="K109" i="4" s="1"/>
  <c r="D109" i="4"/>
  <c r="B110" i="4" s="1"/>
  <c r="I165" i="4"/>
  <c r="J165" i="4" s="1"/>
  <c r="K165" i="4" s="1"/>
  <c r="D165" i="4"/>
  <c r="E81" i="4"/>
  <c r="C82" i="4" s="1"/>
  <c r="E124" i="4"/>
  <c r="I184" i="4"/>
  <c r="J184" i="4" s="1"/>
  <c r="D184" i="4"/>
  <c r="B185" i="4" s="1"/>
  <c r="F68" i="4"/>
  <c r="N116" i="4"/>
  <c r="G124" i="4" l="1"/>
  <c r="C125" i="4"/>
  <c r="F165" i="4"/>
  <c r="H166" i="4" s="1"/>
  <c r="B166" i="4"/>
  <c r="F109" i="4"/>
  <c r="H110" i="4" s="1"/>
  <c r="F151" i="4"/>
  <c r="F138" i="4"/>
  <c r="H139" i="4" s="1"/>
  <c r="F184" i="4"/>
  <c r="H185" i="4" s="1"/>
  <c r="G152" i="4"/>
  <c r="H152" i="4"/>
  <c r="H69" i="4"/>
  <c r="G69" i="4"/>
  <c r="I124" i="4"/>
  <c r="J124" i="4" s="1"/>
  <c r="K124" i="4" s="1"/>
  <c r="D124" i="4"/>
  <c r="D54" i="4"/>
  <c r="B55" i="4" s="1"/>
  <c r="I54" i="4"/>
  <c r="J54" i="4" s="1"/>
  <c r="K54" i="4" s="1"/>
  <c r="F81" i="4"/>
  <c r="E95" i="4"/>
  <c r="C96" i="4" s="1"/>
  <c r="E26" i="4"/>
  <c r="C27" i="4" s="1"/>
  <c r="O116" i="4"/>
  <c r="E166" i="4"/>
  <c r="E54" i="4"/>
  <c r="C55" i="4" s="1"/>
  <c r="I95" i="4"/>
  <c r="J95" i="4" s="1"/>
  <c r="K95" i="4" s="1"/>
  <c r="D95" i="4"/>
  <c r="B96" i="4" s="1"/>
  <c r="E110" i="4"/>
  <c r="E139" i="4"/>
  <c r="E152" i="4"/>
  <c r="D40" i="4"/>
  <c r="B41" i="4" s="1"/>
  <c r="D26" i="4"/>
  <c r="B27" i="4" s="1"/>
  <c r="I26" i="4"/>
  <c r="J26" i="4" s="1"/>
  <c r="K26" i="4" s="1"/>
  <c r="G166" i="4" l="1"/>
  <c r="B125" i="4"/>
  <c r="C167" i="4"/>
  <c r="C153" i="4"/>
  <c r="C111" i="4"/>
  <c r="C140" i="4"/>
  <c r="G185" i="4"/>
  <c r="G110" i="4"/>
  <c r="G139" i="4"/>
  <c r="F124" i="4"/>
  <c r="H125" i="4" s="1"/>
  <c r="H82" i="4"/>
  <c r="G82" i="4"/>
  <c r="F26" i="4"/>
  <c r="F54" i="4"/>
  <c r="D139" i="4"/>
  <c r="I139" i="4"/>
  <c r="J139" i="4" s="1"/>
  <c r="K139" i="4" s="1"/>
  <c r="F95" i="4"/>
  <c r="D152" i="4"/>
  <c r="I152" i="4"/>
  <c r="J152" i="4" s="1"/>
  <c r="K152" i="4" s="1"/>
  <c r="I110" i="4"/>
  <c r="J110" i="4" s="1"/>
  <c r="K110" i="4" s="1"/>
  <c r="D110" i="4"/>
  <c r="B111" i="4" s="1"/>
  <c r="E125" i="4"/>
  <c r="I166" i="4"/>
  <c r="J166" i="4" s="1"/>
  <c r="K166" i="4" s="1"/>
  <c r="D166" i="4"/>
  <c r="E40" i="4"/>
  <c r="C41" i="4" s="1"/>
  <c r="E185" i="4"/>
  <c r="C186" i="4" s="1"/>
  <c r="D185" i="4"/>
  <c r="I185" i="4"/>
  <c r="J185" i="4" s="1"/>
  <c r="I40" i="4"/>
  <c r="J40" i="4" s="1"/>
  <c r="K40" i="4" s="1"/>
  <c r="D69" i="4"/>
  <c r="B70" i="4" s="1"/>
  <c r="I69" i="4"/>
  <c r="J69" i="4" s="1"/>
  <c r="E69" i="4"/>
  <c r="C70" i="4" s="1"/>
  <c r="E27" i="4"/>
  <c r="N130" i="4"/>
  <c r="B167" i="4" l="1"/>
  <c r="G125" i="4"/>
  <c r="B186" i="4"/>
  <c r="F152" i="4"/>
  <c r="G153" i="4" s="1"/>
  <c r="B153" i="4"/>
  <c r="B140" i="4"/>
  <c r="C126" i="4"/>
  <c r="F166" i="4"/>
  <c r="G167" i="4" s="1"/>
  <c r="F139" i="4"/>
  <c r="H140" i="4" s="1"/>
  <c r="F40" i="4"/>
  <c r="G41" i="4" s="1"/>
  <c r="F110" i="4"/>
  <c r="H111" i="4" s="1"/>
  <c r="H153" i="4"/>
  <c r="H27" i="4"/>
  <c r="C28" i="4" s="1"/>
  <c r="G27" i="4"/>
  <c r="H96" i="4"/>
  <c r="G96" i="4"/>
  <c r="H55" i="4"/>
  <c r="G55" i="4"/>
  <c r="E111" i="4"/>
  <c r="I55" i="4"/>
  <c r="J55" i="4" s="1"/>
  <c r="K55" i="4" s="1"/>
  <c r="D55" i="4"/>
  <c r="B56" i="4" s="1"/>
  <c r="O158" i="4"/>
  <c r="E55" i="4"/>
  <c r="D82" i="4"/>
  <c r="B83" i="4" s="1"/>
  <c r="I82" i="4"/>
  <c r="J82" i="4" s="1"/>
  <c r="K82" i="4" s="1"/>
  <c r="E96" i="4"/>
  <c r="E153" i="4"/>
  <c r="E82" i="4"/>
  <c r="C83" i="4" s="1"/>
  <c r="O172" i="4"/>
  <c r="O130" i="4"/>
  <c r="E167" i="4"/>
  <c r="D125" i="4"/>
  <c r="I125" i="4"/>
  <c r="J125" i="4" s="1"/>
  <c r="K125" i="4" s="1"/>
  <c r="E140" i="4"/>
  <c r="C141" i="4" s="1"/>
  <c r="F185" i="4"/>
  <c r="D27" i="4"/>
  <c r="K69" i="4"/>
  <c r="F69" i="4"/>
  <c r="I27" i="4"/>
  <c r="J27" i="4" s="1"/>
  <c r="K27" i="4" s="1"/>
  <c r="H41" i="4" l="1"/>
  <c r="B126" i="4"/>
  <c r="H167" i="4"/>
  <c r="C168" i="4"/>
  <c r="B28" i="4"/>
  <c r="N144" i="4" s="1"/>
  <c r="C97" i="4"/>
  <c r="C154" i="4"/>
  <c r="G140" i="4"/>
  <c r="C112" i="4"/>
  <c r="C56" i="4"/>
  <c r="F125" i="4"/>
  <c r="H126" i="4" s="1"/>
  <c r="F82" i="4"/>
  <c r="G83" i="4" s="1"/>
  <c r="G111" i="4"/>
  <c r="F27" i="4"/>
  <c r="G28" i="4" s="1"/>
  <c r="H186" i="4"/>
  <c r="G186" i="4"/>
  <c r="H70" i="4"/>
  <c r="G70" i="4"/>
  <c r="Q172" i="4"/>
  <c r="H10" i="2" s="1"/>
  <c r="H59" i="2" s="1"/>
  <c r="D153" i="4"/>
  <c r="B154" i="4" s="1"/>
  <c r="I153" i="4"/>
  <c r="J153" i="4" s="1"/>
  <c r="K153" i="4" s="1"/>
  <c r="I140" i="4"/>
  <c r="J140" i="4" s="1"/>
  <c r="K140" i="4" s="1"/>
  <c r="D140" i="4"/>
  <c r="E41" i="4"/>
  <c r="C42" i="4" s="1"/>
  <c r="D111" i="4"/>
  <c r="I111" i="4"/>
  <c r="J111" i="4" s="1"/>
  <c r="K111" i="4" s="1"/>
  <c r="E83" i="4"/>
  <c r="I96" i="4"/>
  <c r="J96" i="4" s="1"/>
  <c r="K96" i="4" s="1"/>
  <c r="D96" i="4"/>
  <c r="B97" i="4" s="1"/>
  <c r="D167" i="4"/>
  <c r="I167" i="4"/>
  <c r="J167" i="4" s="1"/>
  <c r="K167" i="4" s="1"/>
  <c r="F55" i="4"/>
  <c r="D186" i="4"/>
  <c r="B187" i="4" s="1"/>
  <c r="D41" i="4"/>
  <c r="B42" i="4" s="1"/>
  <c r="I41" i="4"/>
  <c r="J41" i="4" s="1"/>
  <c r="K41" i="4" s="1"/>
  <c r="H28" i="4" l="1"/>
  <c r="G126" i="4"/>
  <c r="B112" i="4"/>
  <c r="B141" i="4"/>
  <c r="F167" i="4"/>
  <c r="H168" i="4" s="1"/>
  <c r="B168" i="4"/>
  <c r="F111" i="4"/>
  <c r="H112" i="4" s="1"/>
  <c r="D126" i="4"/>
  <c r="F41" i="4"/>
  <c r="H42" i="4" s="1"/>
  <c r="F140" i="4"/>
  <c r="H141" i="4" s="1"/>
  <c r="F96" i="4"/>
  <c r="H97" i="4" s="1"/>
  <c r="F153" i="4"/>
  <c r="H154" i="4" s="1"/>
  <c r="H83" i="4"/>
  <c r="C84" i="4" s="1"/>
  <c r="G56" i="4"/>
  <c r="H56" i="4"/>
  <c r="H23" i="2"/>
  <c r="H40" i="2" s="1"/>
  <c r="E112" i="4"/>
  <c r="I126" i="4"/>
  <c r="J126" i="4" s="1"/>
  <c r="K126" i="4" s="1"/>
  <c r="E126" i="4"/>
  <c r="C127" i="4" s="1"/>
  <c r="E56" i="4"/>
  <c r="C57" i="4" s="1"/>
  <c r="E141" i="4"/>
  <c r="E154" i="4"/>
  <c r="E168" i="4"/>
  <c r="E97" i="4"/>
  <c r="I83" i="4"/>
  <c r="J83" i="4" s="1"/>
  <c r="K83" i="4" s="1"/>
  <c r="D83" i="4"/>
  <c r="B84" i="4" s="1"/>
  <c r="I186" i="4"/>
  <c r="J186" i="4" s="1"/>
  <c r="E186" i="4"/>
  <c r="C187" i="4" s="1"/>
  <c r="E42" i="4"/>
  <c r="D70" i="4"/>
  <c r="B71" i="4" s="1"/>
  <c r="I70" i="4"/>
  <c r="J70" i="4" s="1"/>
  <c r="E70" i="4"/>
  <c r="C71" i="4" s="1"/>
  <c r="O144" i="4"/>
  <c r="G168" i="4" l="1"/>
  <c r="B127" i="4"/>
  <c r="C113" i="4"/>
  <c r="C169" i="4"/>
  <c r="C43" i="4"/>
  <c r="C155" i="4"/>
  <c r="G154" i="4"/>
  <c r="G112" i="4"/>
  <c r="G97" i="4"/>
  <c r="C98" i="4"/>
  <c r="G42" i="4"/>
  <c r="F83" i="4"/>
  <c r="H84" i="4" s="1"/>
  <c r="F126" i="4"/>
  <c r="G127" i="4" s="1"/>
  <c r="E127" i="4"/>
  <c r="F186" i="4"/>
  <c r="G187" i="4" s="1"/>
  <c r="G141" i="4"/>
  <c r="D141" i="4"/>
  <c r="F141" i="4" s="1"/>
  <c r="I141" i="4"/>
  <c r="J141" i="4" s="1"/>
  <c r="K141" i="4" s="1"/>
  <c r="D56" i="4"/>
  <c r="B57" i="4" s="1"/>
  <c r="I56" i="4"/>
  <c r="J56" i="4" s="1"/>
  <c r="K56" i="4" s="1"/>
  <c r="E84" i="4"/>
  <c r="I97" i="4"/>
  <c r="J97" i="4" s="1"/>
  <c r="K97" i="4" s="1"/>
  <c r="D97" i="4"/>
  <c r="B98" i="4" s="1"/>
  <c r="D112" i="4"/>
  <c r="I112" i="4"/>
  <c r="J112" i="4" s="1"/>
  <c r="K112" i="4" s="1"/>
  <c r="I168" i="4"/>
  <c r="J168" i="4" s="1"/>
  <c r="K168" i="4" s="1"/>
  <c r="D168" i="4"/>
  <c r="D154" i="4"/>
  <c r="I154" i="4"/>
  <c r="J154" i="4" s="1"/>
  <c r="K154" i="4" s="1"/>
  <c r="D42" i="4"/>
  <c r="I42" i="4"/>
  <c r="J42" i="4" s="1"/>
  <c r="K42" i="4" s="1"/>
  <c r="K70" i="4"/>
  <c r="F70" i="4"/>
  <c r="D28" i="4"/>
  <c r="B29" i="4" s="1"/>
  <c r="I28" i="4"/>
  <c r="J28" i="4" s="1"/>
  <c r="K28" i="4" s="1"/>
  <c r="E28" i="4"/>
  <c r="C29" i="4" s="1"/>
  <c r="B169" i="4" l="1"/>
  <c r="B155" i="4"/>
  <c r="C85" i="4"/>
  <c r="B43" i="4"/>
  <c r="F112" i="4"/>
  <c r="H113" i="4" s="1"/>
  <c r="B113" i="4"/>
  <c r="H127" i="4"/>
  <c r="F154" i="4"/>
  <c r="H155" i="4" s="1"/>
  <c r="H187" i="4"/>
  <c r="G84" i="4"/>
  <c r="F97" i="4"/>
  <c r="G98" i="4" s="1"/>
  <c r="F56" i="4"/>
  <c r="H57" i="4" s="1"/>
  <c r="F168" i="4"/>
  <c r="G169" i="4" s="1"/>
  <c r="H71" i="4"/>
  <c r="G71" i="4"/>
  <c r="E169" i="4"/>
  <c r="D84" i="4"/>
  <c r="I84" i="4"/>
  <c r="J84" i="4" s="1"/>
  <c r="K84" i="4" s="1"/>
  <c r="I127" i="4"/>
  <c r="J127" i="4" s="1"/>
  <c r="K127" i="4" s="1"/>
  <c r="D127" i="4"/>
  <c r="F127" i="4" s="1"/>
  <c r="E155" i="4"/>
  <c r="E57" i="4"/>
  <c r="E113" i="4"/>
  <c r="E98" i="4"/>
  <c r="M186" i="4"/>
  <c r="M158" i="4" s="1"/>
  <c r="E187" i="4"/>
  <c r="M176" i="4"/>
  <c r="M18" i="4" s="1"/>
  <c r="M177" i="4"/>
  <c r="M32" i="4" s="1"/>
  <c r="M178" i="4"/>
  <c r="M46" i="4" s="1"/>
  <c r="M179" i="4"/>
  <c r="M60" i="4" s="1"/>
  <c r="M180" i="4"/>
  <c r="M74" i="4" s="1"/>
  <c r="M181" i="4"/>
  <c r="M88" i="4" s="1"/>
  <c r="M185" i="4"/>
  <c r="M144" i="4" s="1"/>
  <c r="M182" i="4"/>
  <c r="M102" i="4" s="1"/>
  <c r="M184" i="4"/>
  <c r="M130" i="4" s="1"/>
  <c r="M183" i="4"/>
  <c r="M116" i="4" s="1"/>
  <c r="I187" i="4"/>
  <c r="J187" i="4" s="1"/>
  <c r="L186" i="4"/>
  <c r="L158" i="4" s="1"/>
  <c r="D187" i="4"/>
  <c r="L176" i="4"/>
  <c r="L18" i="4" s="1"/>
  <c r="P18" i="4" s="1"/>
  <c r="C5" i="2" s="1"/>
  <c r="L177" i="4"/>
  <c r="L32" i="4" s="1"/>
  <c r="P32" i="4" s="1"/>
  <c r="C6" i="2" s="1"/>
  <c r="L178" i="4"/>
  <c r="L46" i="4" s="1"/>
  <c r="P46" i="4" s="1"/>
  <c r="D5" i="2" s="1"/>
  <c r="L179" i="4"/>
  <c r="L60" i="4" s="1"/>
  <c r="P60" i="4" s="1"/>
  <c r="D6" i="2" s="1"/>
  <c r="L180" i="4"/>
  <c r="L74" i="4" s="1"/>
  <c r="P74" i="4" s="1"/>
  <c r="E5" i="2" s="1"/>
  <c r="L183" i="4"/>
  <c r="L116" i="4" s="1"/>
  <c r="P116" i="4" s="1"/>
  <c r="F6" i="2" s="1"/>
  <c r="L184" i="4"/>
  <c r="L130" i="4" s="1"/>
  <c r="P130" i="4" s="1"/>
  <c r="G5" i="2" s="1"/>
  <c r="L182" i="4"/>
  <c r="L102" i="4" s="1"/>
  <c r="P102" i="4" s="1"/>
  <c r="F5" i="2" s="1"/>
  <c r="L185" i="4"/>
  <c r="L144" i="4" s="1"/>
  <c r="P144" i="4" s="1"/>
  <c r="G6" i="2" s="1"/>
  <c r="L181" i="4"/>
  <c r="L88" i="4" s="1"/>
  <c r="P88" i="4" s="1"/>
  <c r="E6" i="2" s="1"/>
  <c r="E71" i="4"/>
  <c r="F42" i="4"/>
  <c r="F28" i="4"/>
  <c r="F187" i="4" l="1"/>
  <c r="H169" i="4"/>
  <c r="G113" i="4"/>
  <c r="G155" i="4"/>
  <c r="H98" i="4"/>
  <c r="C99" i="4" s="1"/>
  <c r="F84" i="4"/>
  <c r="G85" i="4" s="1"/>
  <c r="B85" i="4"/>
  <c r="G57" i="4"/>
  <c r="G29" i="4"/>
  <c r="H29" i="4"/>
  <c r="H43" i="4"/>
  <c r="G43" i="4"/>
  <c r="Q74" i="4"/>
  <c r="E9" i="2" s="1"/>
  <c r="E58" i="2" s="1"/>
  <c r="Q46" i="4"/>
  <c r="D9" i="2" s="1"/>
  <c r="D58" i="2" s="1"/>
  <c r="Q32" i="4"/>
  <c r="C10" i="2" s="1"/>
  <c r="C59" i="2" s="1"/>
  <c r="Q158" i="4"/>
  <c r="H9" i="2" s="1"/>
  <c r="H58" i="2" s="1"/>
  <c r="Q18" i="4"/>
  <c r="C9" i="2" s="1"/>
  <c r="C58" i="2" s="1"/>
  <c r="Q88" i="4"/>
  <c r="E10" i="2" s="1"/>
  <c r="E59" i="2" s="1"/>
  <c r="Q60" i="4"/>
  <c r="D10" i="2" s="1"/>
  <c r="D59" i="2" s="1"/>
  <c r="Q130" i="4"/>
  <c r="G9" i="2" s="1"/>
  <c r="G58" i="2" s="1"/>
  <c r="Q102" i="4"/>
  <c r="F9" i="2" s="1"/>
  <c r="F58" i="2" s="1"/>
  <c r="Q116" i="4"/>
  <c r="F10" i="2" s="1"/>
  <c r="F59" i="2" s="1"/>
  <c r="Q144" i="4"/>
  <c r="G10" i="2" s="1"/>
  <c r="G59" i="2" s="1"/>
  <c r="C57" i="2"/>
  <c r="C19" i="2"/>
  <c r="C38" i="2"/>
  <c r="D18" i="2"/>
  <c r="D56" i="2"/>
  <c r="D37" i="2"/>
  <c r="D98" i="4"/>
  <c r="B99" i="4" s="1"/>
  <c r="I98" i="4"/>
  <c r="J98" i="4" s="1"/>
  <c r="K98" i="4" s="1"/>
  <c r="I155" i="4"/>
  <c r="J155" i="4" s="1"/>
  <c r="K155" i="4" s="1"/>
  <c r="D155" i="4"/>
  <c r="F155" i="4" s="1"/>
  <c r="F18" i="2"/>
  <c r="F56" i="2"/>
  <c r="F37" i="2"/>
  <c r="F38" i="2"/>
  <c r="F19" i="2"/>
  <c r="F57" i="2"/>
  <c r="I113" i="4"/>
  <c r="J113" i="4" s="1"/>
  <c r="K113" i="4" s="1"/>
  <c r="D113" i="4"/>
  <c r="F113" i="4" s="1"/>
  <c r="E85" i="4"/>
  <c r="D57" i="4"/>
  <c r="F57" i="4" s="1"/>
  <c r="I57" i="4"/>
  <c r="J57" i="4" s="1"/>
  <c r="K57" i="4" s="1"/>
  <c r="E38" i="2"/>
  <c r="E19" i="2"/>
  <c r="E57" i="2"/>
  <c r="G38" i="2"/>
  <c r="G19" i="2"/>
  <c r="G57" i="2"/>
  <c r="C18" i="2"/>
  <c r="C37" i="2"/>
  <c r="C56" i="2"/>
  <c r="G37" i="2"/>
  <c r="G18" i="2"/>
  <c r="G56" i="2"/>
  <c r="E56" i="2"/>
  <c r="E37" i="2"/>
  <c r="E18" i="2"/>
  <c r="D38" i="2"/>
  <c r="D57" i="2"/>
  <c r="D19" i="2"/>
  <c r="I169" i="4"/>
  <c r="J169" i="4" s="1"/>
  <c r="K169" i="4" s="1"/>
  <c r="D169" i="4"/>
  <c r="F169" i="4" s="1"/>
  <c r="N172" i="4"/>
  <c r="P172" i="4" s="1"/>
  <c r="H6" i="2" s="1"/>
  <c r="H12" i="2" s="1"/>
  <c r="D71" i="4"/>
  <c r="F71" i="4" s="1"/>
  <c r="I71" i="4"/>
  <c r="J71" i="4" s="1"/>
  <c r="K71" i="4" s="1"/>
  <c r="N158" i="4"/>
  <c r="P158" i="4" s="1"/>
  <c r="H5" i="2" s="1"/>
  <c r="H11" i="2" s="1"/>
  <c r="G60" i="2" l="1"/>
  <c r="G61" i="2"/>
  <c r="C60" i="2"/>
  <c r="D61" i="2"/>
  <c r="C61" i="2"/>
  <c r="E12" i="2"/>
  <c r="E61" i="2"/>
  <c r="F60" i="2"/>
  <c r="C12" i="2"/>
  <c r="C77" i="2" s="1"/>
  <c r="C11" i="2"/>
  <c r="F12" i="2"/>
  <c r="F77" i="2" s="1"/>
  <c r="D25" i="2"/>
  <c r="E60" i="2"/>
  <c r="G11" i="2"/>
  <c r="D11" i="2"/>
  <c r="D12" i="2"/>
  <c r="D77" i="2" s="1"/>
  <c r="E11" i="2"/>
  <c r="D60" i="2"/>
  <c r="G12" i="2"/>
  <c r="G77" i="2" s="1"/>
  <c r="F61" i="2"/>
  <c r="D24" i="2"/>
  <c r="F11" i="2"/>
  <c r="H85" i="4"/>
  <c r="F98" i="4"/>
  <c r="H99" i="4" s="1"/>
  <c r="G23" i="2"/>
  <c r="G40" i="2" s="1"/>
  <c r="G42" i="2" s="1"/>
  <c r="F23" i="2"/>
  <c r="F40" i="2" s="1"/>
  <c r="F42" i="2" s="1"/>
  <c r="D23" i="2"/>
  <c r="D40" i="2" s="1"/>
  <c r="D42" i="2" s="1"/>
  <c r="H22" i="2"/>
  <c r="H39" i="2" s="1"/>
  <c r="D22" i="2"/>
  <c r="D39" i="2" s="1"/>
  <c r="D41" i="2" s="1"/>
  <c r="F22" i="2"/>
  <c r="F39" i="2" s="1"/>
  <c r="F41" i="2" s="1"/>
  <c r="G22" i="2"/>
  <c r="G39" i="2" s="1"/>
  <c r="G41" i="2" s="1"/>
  <c r="E23" i="2"/>
  <c r="E40" i="2" s="1"/>
  <c r="E42" i="2" s="1"/>
  <c r="E77" i="2"/>
  <c r="C22" i="2"/>
  <c r="C39" i="2" s="1"/>
  <c r="C41" i="2" s="1"/>
  <c r="C23" i="2"/>
  <c r="C40" i="2" s="1"/>
  <c r="C42" i="2" s="1"/>
  <c r="E22" i="2"/>
  <c r="E39" i="2" s="1"/>
  <c r="E41" i="2" s="1"/>
  <c r="H57" i="2"/>
  <c r="H61" i="2" s="1"/>
  <c r="H77" i="2"/>
  <c r="H38" i="2"/>
  <c r="H42" i="2" s="1"/>
  <c r="H19" i="2"/>
  <c r="H56" i="2"/>
  <c r="H60" i="2" s="1"/>
  <c r="H37" i="2"/>
  <c r="H41" i="2" s="1"/>
  <c r="H18" i="2"/>
  <c r="H24" i="2" s="1"/>
  <c r="I85" i="4"/>
  <c r="J85" i="4" s="1"/>
  <c r="K85" i="4" s="1"/>
  <c r="D85" i="4"/>
  <c r="F85" i="4" s="1"/>
  <c r="E99" i="4"/>
  <c r="D43" i="4"/>
  <c r="I43" i="4"/>
  <c r="F5" i="1" l="1"/>
  <c r="F25" i="2"/>
  <c r="E24" i="2"/>
  <c r="E27" i="2" s="1"/>
  <c r="C25" i="2"/>
  <c r="G25" i="2"/>
  <c r="G28" i="2" s="1"/>
  <c r="G79" i="2" s="1"/>
  <c r="H25" i="2"/>
  <c r="H28" i="2" s="1"/>
  <c r="H79" i="2" s="1"/>
  <c r="E25" i="2"/>
  <c r="C24" i="2"/>
  <c r="C27" i="2" s="1"/>
  <c r="G24" i="2"/>
  <c r="G27" i="2" s="1"/>
  <c r="F24" i="2"/>
  <c r="F27" i="2" s="1"/>
  <c r="G99" i="4"/>
  <c r="G76" i="2"/>
  <c r="F4" i="7"/>
  <c r="F5" i="7"/>
  <c r="H76" i="2"/>
  <c r="G4" i="7"/>
  <c r="G5" i="7"/>
  <c r="F76" i="2"/>
  <c r="E4" i="7"/>
  <c r="E5" i="7"/>
  <c r="D76" i="2"/>
  <c r="C5" i="7"/>
  <c r="C4" i="7"/>
  <c r="E76" i="2"/>
  <c r="D4" i="7"/>
  <c r="D5" i="7"/>
  <c r="C76" i="2"/>
  <c r="B5" i="7"/>
  <c r="B4" i="7"/>
  <c r="E78" i="2"/>
  <c r="D3" i="7"/>
  <c r="E64" i="2"/>
  <c r="E28" i="2"/>
  <c r="G64" i="2"/>
  <c r="C28" i="2"/>
  <c r="J5" i="1"/>
  <c r="D27" i="2"/>
  <c r="D67" i="2"/>
  <c r="E66" i="2"/>
  <c r="F28" i="2"/>
  <c r="F79" i="2" s="1"/>
  <c r="D64" i="2"/>
  <c r="G67" i="2"/>
  <c r="F64" i="2"/>
  <c r="E63" i="2"/>
  <c r="E67" i="2"/>
  <c r="H5" i="1"/>
  <c r="F67" i="2"/>
  <c r="H27" i="2"/>
  <c r="H4" i="1"/>
  <c r="G4" i="1"/>
  <c r="D28" i="2"/>
  <c r="F63" i="2"/>
  <c r="C63" i="2"/>
  <c r="F4" i="1"/>
  <c r="F6" i="1" s="1"/>
  <c r="C66" i="2"/>
  <c r="I99" i="4"/>
  <c r="J99" i="4" s="1"/>
  <c r="K99" i="4" s="1"/>
  <c r="D99" i="4"/>
  <c r="F99" i="4" s="1"/>
  <c r="D63" i="2"/>
  <c r="C67" i="2"/>
  <c r="C64" i="2"/>
  <c r="I4" i="1"/>
  <c r="H64" i="2"/>
  <c r="G66" i="2"/>
  <c r="G63" i="2"/>
  <c r="J4" i="1"/>
  <c r="D66" i="2"/>
  <c r="G5" i="1"/>
  <c r="F66" i="2"/>
  <c r="I5" i="1"/>
  <c r="H67" i="2"/>
  <c r="E29" i="4"/>
  <c r="J43" i="4"/>
  <c r="K43" i="4" s="1"/>
  <c r="E43" i="4"/>
  <c r="F43" i="4" s="1"/>
  <c r="I29" i="4"/>
  <c r="J29" i="4" s="1"/>
  <c r="K29" i="4" s="1"/>
  <c r="D29" i="4"/>
  <c r="G78" i="2" l="1"/>
  <c r="F3" i="7"/>
  <c r="C78" i="2"/>
  <c r="B3" i="7"/>
  <c r="F78" i="2"/>
  <c r="E3" i="7"/>
  <c r="D78" i="2"/>
  <c r="C3" i="7"/>
  <c r="D79" i="2"/>
  <c r="E79" i="2"/>
  <c r="H78" i="2"/>
  <c r="G3" i="7"/>
  <c r="C79" i="2"/>
  <c r="J6" i="1"/>
  <c r="J10" i="1" s="1"/>
  <c r="J20" i="1" s="1"/>
  <c r="H66" i="2"/>
  <c r="H6" i="1"/>
  <c r="H10" i="1" s="1"/>
  <c r="G6" i="1"/>
  <c r="G10" i="1" s="1"/>
  <c r="H63" i="2"/>
  <c r="K5" i="1"/>
  <c r="K4" i="1"/>
  <c r="I6" i="1"/>
  <c r="I10" i="1" s="1"/>
  <c r="F29" i="4"/>
  <c r="F4" i="5" l="1"/>
  <c r="F8" i="7"/>
  <c r="K6" i="1"/>
  <c r="K10" i="1" s="1"/>
  <c r="K20" i="1" s="1"/>
  <c r="G4" i="6"/>
  <c r="G20" i="6"/>
  <c r="I20" i="1"/>
  <c r="F4" i="6"/>
  <c r="G20" i="1"/>
  <c r="D4" i="6"/>
  <c r="H4" i="6"/>
  <c r="G5" i="5" s="1"/>
  <c r="H20" i="1"/>
  <c r="E4" i="6"/>
  <c r="D4" i="5" l="1"/>
  <c r="D8" i="7"/>
  <c r="E4" i="5"/>
  <c r="E8" i="7"/>
  <c r="G4" i="5"/>
  <c r="G8" i="7"/>
  <c r="C4" i="5"/>
  <c r="C8" i="7"/>
  <c r="D5" i="5"/>
  <c r="E5" i="5"/>
  <c r="F5" i="5"/>
  <c r="E20" i="6"/>
  <c r="H20" i="6"/>
  <c r="D20" i="6"/>
  <c r="F20" i="6"/>
  <c r="F10" i="1" l="1"/>
  <c r="C4" i="6" s="1"/>
  <c r="B5" i="5" s="1"/>
  <c r="C5" i="5" l="1"/>
  <c r="F20" i="1"/>
  <c r="C20" i="6" l="1"/>
  <c r="B8" i="7"/>
  <c r="B4" i="5"/>
  <c r="B13" i="5" s="1"/>
  <c r="B17" i="5" l="1"/>
  <c r="B19" i="5" s="1"/>
  <c r="C3" i="6"/>
  <c r="C3" i="5"/>
  <c r="F23" i="1"/>
  <c r="G22" i="1" s="1"/>
  <c r="B21" i="5" l="1"/>
  <c r="C13" i="5"/>
  <c r="G23" i="1" s="1"/>
  <c r="H22" i="1" s="1"/>
  <c r="C6" i="6"/>
  <c r="C12" i="6" s="1"/>
  <c r="C18" i="6" s="1"/>
  <c r="C19" i="6" s="1"/>
  <c r="C21" i="6" s="1"/>
  <c r="D3" i="5" l="1"/>
  <c r="D13" i="5" s="1"/>
  <c r="H23" i="1" s="1"/>
  <c r="D3" i="6"/>
  <c r="D6" i="6" s="1"/>
  <c r="D12" i="6" s="1"/>
  <c r="D18" i="6" s="1"/>
  <c r="D19" i="6" s="1"/>
  <c r="D21" i="6" s="1"/>
  <c r="C17" i="5"/>
  <c r="C21" i="5" l="1"/>
  <c r="C19" i="5"/>
  <c r="D17" i="5"/>
  <c r="E3" i="5"/>
  <c r="E13" i="5" s="1"/>
  <c r="I23" i="1" s="1"/>
  <c r="E3" i="6"/>
  <c r="I22" i="1"/>
  <c r="E17" i="5" l="1"/>
  <c r="F3" i="5"/>
  <c r="F3" i="6"/>
  <c r="D21" i="5"/>
  <c r="D19" i="5"/>
  <c r="E6" i="6"/>
  <c r="E12" i="6" s="1"/>
  <c r="E18" i="6" s="1"/>
  <c r="E19" i="6" s="1"/>
  <c r="E21" i="6" s="1"/>
  <c r="F13" i="5" l="1"/>
  <c r="J23" i="1" s="1"/>
  <c r="E19" i="5"/>
  <c r="E21" i="5"/>
  <c r="J22" i="1"/>
  <c r="F17" i="5" l="1"/>
  <c r="F19" i="5" s="1"/>
  <c r="G3" i="5"/>
  <c r="G3" i="6"/>
  <c r="F6" i="6"/>
  <c r="F12" i="6" s="1"/>
  <c r="F18" i="6" s="1"/>
  <c r="F19" i="6" s="1"/>
  <c r="F21" i="6" s="1"/>
  <c r="F21" i="5" l="1"/>
  <c r="G13" i="5"/>
  <c r="G17" i="5" s="1"/>
  <c r="K22" i="1"/>
  <c r="H3" i="6" l="1"/>
  <c r="K23" i="1"/>
  <c r="G21" i="5"/>
  <c r="G19" i="5"/>
  <c r="G6" i="6"/>
  <c r="G12" i="6" s="1"/>
  <c r="G18" i="6" s="1"/>
  <c r="G19" i="6" s="1"/>
  <c r="G21" i="6" s="1"/>
  <c r="H6" i="6" l="1"/>
  <c r="H12" i="6" s="1"/>
  <c r="H18" i="6" s="1"/>
  <c r="H19" i="6" s="1"/>
  <c r="H21" i="6" s="1"/>
</calcChain>
</file>

<file path=xl/sharedStrings.xml><?xml version="1.0" encoding="utf-8"?>
<sst xmlns="http://schemas.openxmlformats.org/spreadsheetml/2006/main" count="528" uniqueCount="248">
  <si>
    <t>Planning Variables</t>
  </si>
  <si>
    <t>Inflation Rate</t>
  </si>
  <si>
    <t>Income Statement</t>
  </si>
  <si>
    <t>Gifts</t>
  </si>
  <si>
    <t>Miscellaneous</t>
  </si>
  <si>
    <t>Base year, Fall</t>
  </si>
  <si>
    <t>Instruction</t>
  </si>
  <si>
    <t>Academic Support</t>
  </si>
  <si>
    <t>Student Affairs</t>
  </si>
  <si>
    <t>Administrative Support</t>
  </si>
  <si>
    <t>Plant Operations</t>
  </si>
  <si>
    <t>Fall to Fall New Student Rate Change</t>
  </si>
  <si>
    <t>Tuition, gross</t>
  </si>
  <si>
    <t>Tuition discounts</t>
  </si>
  <si>
    <t>Tuition, net</t>
  </si>
  <si>
    <t>Initial Faculty Count</t>
  </si>
  <si>
    <t>Initial Staff Count</t>
  </si>
  <si>
    <t>Initial Average Faculty Salary</t>
  </si>
  <si>
    <t>Faculty Benefit Rate</t>
  </si>
  <si>
    <t>Initial Average Staff Salary</t>
  </si>
  <si>
    <t>Staff Benefit Rate</t>
  </si>
  <si>
    <t>Initial Non-personnel</t>
  </si>
  <si>
    <t>Benefits</t>
  </si>
  <si>
    <t>Nonpersonnel</t>
  </si>
  <si>
    <t>Faculty Count</t>
  </si>
  <si>
    <t>Staff Count</t>
  </si>
  <si>
    <t>Average Salary, Faculty</t>
  </si>
  <si>
    <t>Average Salary, Staff</t>
  </si>
  <si>
    <t>Added Staff</t>
  </si>
  <si>
    <t>Inflation</t>
  </si>
  <si>
    <t>Total Expense</t>
  </si>
  <si>
    <t xml:space="preserve">Total Revenue       </t>
  </si>
  <si>
    <t xml:space="preserve">Total Expenses           </t>
  </si>
  <si>
    <t>Net Asset Change</t>
  </si>
  <si>
    <t>Growth of Incoming Class</t>
  </si>
  <si>
    <t>Above Inflation</t>
  </si>
  <si>
    <t>Tuition Rate Change</t>
  </si>
  <si>
    <t>Added Persons/Year</t>
  </si>
  <si>
    <t>Full-time Faculty Change</t>
  </si>
  <si>
    <t>Full-time Staff Change</t>
  </si>
  <si>
    <t>As % of Salaries</t>
  </si>
  <si>
    <t>Growth of % of Salaries</t>
  </si>
  <si>
    <t>Nonpersonnel Expense Rate Change</t>
  </si>
  <si>
    <t>Faculty</t>
  </si>
  <si>
    <t>Instructional Staff</t>
  </si>
  <si>
    <t>% Change above Inflation</t>
  </si>
  <si>
    <t>Conversions</t>
  </si>
  <si>
    <t>Fa-Sp %</t>
  </si>
  <si>
    <t>Credit Loads</t>
  </si>
  <si>
    <t>Part-time</t>
  </si>
  <si>
    <t>Average</t>
  </si>
  <si>
    <t>Academic FTE</t>
  </si>
  <si>
    <t>Gross Tuition Revenue</t>
  </si>
  <si>
    <t>"What if" Variables</t>
  </si>
  <si>
    <t>Median Unfunded Scholarship, % of Tuition</t>
  </si>
  <si>
    <t>Annual</t>
  </si>
  <si>
    <t>Annual Rate of Change</t>
  </si>
  <si>
    <t>Proportion of Students on Scholarship</t>
  </si>
  <si>
    <t>% of Students on Scholarship</t>
  </si>
  <si>
    <t>Unfunded Scholarship Expense</t>
  </si>
  <si>
    <t>Growth of Gifts</t>
  </si>
  <si>
    <t>Growth of Miscellaneous Revenue</t>
  </si>
  <si>
    <t>Added Faculty Annually</t>
  </si>
  <si>
    <t>Full-Time</t>
  </si>
  <si>
    <t>Part-Time</t>
  </si>
  <si>
    <t>Full-time Benefit Rate</t>
  </si>
  <si>
    <t>Part-time Benefit Rate</t>
  </si>
  <si>
    <t>Part-time Faculty Change</t>
  </si>
  <si>
    <t>Part-time Staff Change</t>
  </si>
  <si>
    <t>Full-time Faculty Salary Rate Change</t>
  </si>
  <si>
    <t>Part-time Faculty Salary Rate Change</t>
  </si>
  <si>
    <t>Full-time Staff Salary Rate Change</t>
  </si>
  <si>
    <t>Part-time Staff Salary Rate Change</t>
  </si>
  <si>
    <t>Salary Expense</t>
  </si>
  <si>
    <t>Benefit Rate, % of Salaries</t>
  </si>
  <si>
    <t>Full-time Benefit Rate Change</t>
  </si>
  <si>
    <t>Part-time Benefit Rate Change</t>
  </si>
  <si>
    <t xml:space="preserve"> Expenses</t>
  </si>
  <si>
    <t>Nonpersonnel "Bumps"</t>
  </si>
  <si>
    <t>Faculty "Bumps"</t>
  </si>
  <si>
    <t>Staff "Bumps"</t>
  </si>
  <si>
    <t>Gift "Bumps"</t>
  </si>
  <si>
    <t>Miscellaneous Income "Bumps"</t>
  </si>
  <si>
    <t>New student growth:</t>
  </si>
  <si>
    <t>Grad</t>
  </si>
  <si>
    <t>FT Enrollment</t>
  </si>
  <si>
    <t>PT Enrollment</t>
  </si>
  <si>
    <t>DO Cum</t>
  </si>
  <si>
    <t>Grad Cum</t>
  </si>
  <si>
    <t>FT to Grad</t>
  </si>
  <si>
    <t>PT to Grad</t>
  </si>
  <si>
    <t>FT to PT end</t>
  </si>
  <si>
    <t>PT to FT end</t>
  </si>
  <si>
    <t>FT to DO end</t>
  </si>
  <si>
    <t>PT to DO end</t>
  </si>
  <si>
    <t>PT DO end</t>
  </si>
  <si>
    <t>FT DO end</t>
  </si>
  <si>
    <t>DI to FT end</t>
  </si>
  <si>
    <t>DI to PT end</t>
  </si>
  <si>
    <t>Grad Rate</t>
  </si>
  <si>
    <t>Semester</t>
  </si>
  <si>
    <t xml:space="preserve"> </t>
  </si>
  <si>
    <t>Semester After 1st Attend</t>
  </si>
  <si>
    <t>FT</t>
  </si>
  <si>
    <t>PT</t>
  </si>
  <si>
    <t>Second semester</t>
  </si>
  <si>
    <t>Third semester</t>
  </si>
  <si>
    <t>Fourth semester</t>
  </si>
  <si>
    <t>Fifth semester</t>
  </si>
  <si>
    <t>Original Continuing Students</t>
  </si>
  <si>
    <t>Sixth semester</t>
  </si>
  <si>
    <t>Seventh semester</t>
  </si>
  <si>
    <t>Eighth semester</t>
  </si>
  <si>
    <t>Ninth semester</t>
  </si>
  <si>
    <t>Tenth semester</t>
  </si>
  <si>
    <t>Eleventh semester</t>
  </si>
  <si>
    <t>Remaining from original continuing</t>
  </si>
  <si>
    <t>2-11 semesters</t>
  </si>
  <si>
    <t>3-11 semesters</t>
  </si>
  <si>
    <t>4-11 semesters</t>
  </si>
  <si>
    <t>5-11 semesters</t>
  </si>
  <si>
    <t>6-11 semesters</t>
  </si>
  <si>
    <t>7-11 semesters</t>
  </si>
  <si>
    <t>8-11 semesters</t>
  </si>
  <si>
    <t>9-11 semesters</t>
  </si>
  <si>
    <t>10-11 semesters</t>
  </si>
  <si>
    <t>Twelth semester</t>
  </si>
  <si>
    <t>11-12  semester</t>
  </si>
  <si>
    <t>12th semester</t>
  </si>
  <si>
    <t>Original continuing</t>
  </si>
  <si>
    <t>Total Continuing</t>
  </si>
  <si>
    <t>Previous recurring new</t>
  </si>
  <si>
    <t>Headcount students/Headcount faculty</t>
  </si>
  <si>
    <t>Headcount faculty</t>
  </si>
  <si>
    <t>Ave. PT Faculty FTE</t>
  </si>
  <si>
    <t>FTE Teaching Faculty</t>
  </si>
  <si>
    <t>Student academic FTE/Teaching faculty FTE</t>
  </si>
  <si>
    <t>Year ending</t>
  </si>
  <si>
    <t>Beginning cash</t>
  </si>
  <si>
    <t>Year beginning</t>
  </si>
  <si>
    <t>Net asset change</t>
  </si>
  <si>
    <t>Depreciation and other non-cash charges</t>
  </si>
  <si>
    <t>Cash, beginning</t>
  </si>
  <si>
    <t>Cash, ending</t>
  </si>
  <si>
    <t>Investment rate of return</t>
  </si>
  <si>
    <t>Line of credit interest rate</t>
  </si>
  <si>
    <t>Average cash/investment position</t>
  </si>
  <si>
    <t>Investment earnings</t>
  </si>
  <si>
    <t>Line of credit interest expense</t>
  </si>
  <si>
    <t>Investment returns</t>
  </si>
  <si>
    <t>(Includes line of credit interest from Cash tab)</t>
  </si>
  <si>
    <t>Annual, above Inflation</t>
  </si>
  <si>
    <t>Cash</t>
  </si>
  <si>
    <t>Accounts receivable</t>
  </si>
  <si>
    <t>% Revenues receivable</t>
  </si>
  <si>
    <t>Other current assets</t>
  </si>
  <si>
    <t>Total Current Assets</t>
  </si>
  <si>
    <t>Assumed life of fixed assets</t>
  </si>
  <si>
    <t>Additions to fixed assets</t>
  </si>
  <si>
    <t>Fixed assets</t>
  </si>
  <si>
    <t>Less depreciation</t>
  </si>
  <si>
    <t>(Includes depreciation from BalSheet tab)</t>
  </si>
  <si>
    <t>Land</t>
  </si>
  <si>
    <t>Total Long-term Assets</t>
  </si>
  <si>
    <t>Total Assets</t>
  </si>
  <si>
    <t>Short-term liabilities</t>
  </si>
  <si>
    <t>% Expenses unpaid</t>
  </si>
  <si>
    <t>Ending cash</t>
  </si>
  <si>
    <t>Long-term debt</t>
  </si>
  <si>
    <t>New borrowing</t>
  </si>
  <si>
    <t>Repayment</t>
  </si>
  <si>
    <t>Beginning long-term debt</t>
  </si>
  <si>
    <t>Ending long-term debt</t>
  </si>
  <si>
    <t>Bond repayment</t>
  </si>
  <si>
    <t>Total Liabilities</t>
  </si>
  <si>
    <t>Net Assets</t>
  </si>
  <si>
    <t>(New borrowing becomes fixed asset in year of debt)</t>
  </si>
  <si>
    <t>Annual additions to non-bond fixed assets</t>
  </si>
  <si>
    <t>Increase to fixed assets</t>
  </si>
  <si>
    <t>Change in net assets, Balance Sheet</t>
  </si>
  <si>
    <t>Change in net assets, Income Statement</t>
  </si>
  <si>
    <t>Error</t>
  </si>
  <si>
    <t>Balance Sheet</t>
  </si>
  <si>
    <t>Undepreciated fixed assets</t>
  </si>
  <si>
    <t>Big Desert College</t>
  </si>
  <si>
    <t>One-time added gift in 2023</t>
  </si>
  <si>
    <t>First semester full-time student drop out rate</t>
  </si>
  <si>
    <t>DI Cum to FT end</t>
  </si>
  <si>
    <t>DI Cum to PT end</t>
  </si>
  <si>
    <t>Year End:</t>
  </si>
  <si>
    <r>
      <t xml:space="preserve"> </t>
    </r>
    <r>
      <rPr>
        <b/>
        <u/>
        <sz val="11"/>
        <color theme="1"/>
        <rFont val="Calibri"/>
        <family val="2"/>
        <scheme val="minor"/>
      </rPr>
      <t>Revenue</t>
    </r>
    <r>
      <rPr>
        <b/>
        <sz val="11"/>
        <color theme="1"/>
        <rFont val="Calibri"/>
        <family val="2"/>
        <scheme val="minor"/>
      </rPr>
      <t xml:space="preserve">     Year Ending:</t>
    </r>
  </si>
  <si>
    <t>Change in accounts receivable</t>
  </si>
  <si>
    <t>Change in other current assets</t>
  </si>
  <si>
    <t>Annual change in other current assets</t>
  </si>
  <si>
    <t>plus inflation</t>
  </si>
  <si>
    <t>Input value for short-term invest earnings</t>
  </si>
  <si>
    <t>Input value for line of credit interest exp.</t>
  </si>
  <si>
    <t>Increase to land</t>
  </si>
  <si>
    <t>Change in short-term liabilities</t>
  </si>
  <si>
    <t>Fixed Assets</t>
  </si>
  <si>
    <t>Rates</t>
  </si>
  <si>
    <t>New borrowing/new fixed assets</t>
  </si>
  <si>
    <t>Growth of Median Scholarship</t>
  </si>
  <si>
    <t>Growth of % of Students on Scholarship</t>
  </si>
  <si>
    <t>Annual, as % of tuition</t>
  </si>
  <si>
    <t>Year Ending:</t>
  </si>
  <si>
    <t>Fall Student FTE/Faculty FTE</t>
  </si>
  <si>
    <t>Fall Students (heads)/FT Faculty</t>
  </si>
  <si>
    <t>Fall Students (heads)/FT Staff</t>
  </si>
  <si>
    <t>FT Faculty/FT Staff</t>
  </si>
  <si>
    <t>Expenses/Student FTE</t>
  </si>
  <si>
    <t>Net Asset Change/Revenues</t>
  </si>
  <si>
    <t>Average, assumed numbers of new full-time students recurring in all previous new student cohorts</t>
  </si>
  <si>
    <t>Average, assumed numbers of new part-time students recurring in all previous new student cohorts</t>
  </si>
  <si>
    <t>New students, Full-time, fall</t>
  </si>
  <si>
    <t>New students, Full-time, spring</t>
  </si>
  <si>
    <t>Continuing students, Full-time, fall</t>
  </si>
  <si>
    <t>Continuing students, Full-time, spring</t>
  </si>
  <si>
    <t>New students, Part-time, fall</t>
  </si>
  <si>
    <t>New students, Part-time, spring</t>
  </si>
  <si>
    <t>Continuing students, Part-time, fall</t>
  </si>
  <si>
    <t>Continuing students, Part-time, spring</t>
  </si>
  <si>
    <t>Headcount Total, fall</t>
  </si>
  <si>
    <t>Headcount Total, spring</t>
  </si>
  <si>
    <t>Total, fall</t>
  </si>
  <si>
    <t>Total, spring</t>
  </si>
  <si>
    <t>Academic FTE, fall</t>
  </si>
  <si>
    <t>Academic FTE, spring</t>
  </si>
  <si>
    <t>Full-time, per headcount, fall</t>
  </si>
  <si>
    <t>Full-time, per headcount, spring</t>
  </si>
  <si>
    <t>Part-time per credit, fall</t>
  </si>
  <si>
    <t>Part-time per credit, spring</t>
  </si>
  <si>
    <t>Full-time, fall</t>
  </si>
  <si>
    <t>Full-time, spring</t>
  </si>
  <si>
    <t>Part-time, fall</t>
  </si>
  <si>
    <t>Part-time, spring</t>
  </si>
  <si>
    <t>Full-time Students, fall</t>
  </si>
  <si>
    <t>Full-time Students, spring</t>
  </si>
  <si>
    <t>Part-time Students, fall</t>
  </si>
  <si>
    <t>Part-time Students, spring</t>
  </si>
  <si>
    <t>Net Tuition Revenue, fall</t>
  </si>
  <si>
    <t>Net Tuition Revenue, spring</t>
  </si>
  <si>
    <t>Discount Rate, fall</t>
  </si>
  <si>
    <t>Discount Rate, spring</t>
  </si>
  <si>
    <t>Fall</t>
  </si>
  <si>
    <t>Spring</t>
  </si>
  <si>
    <t>Year ending:</t>
  </si>
  <si>
    <t>Tuition Rates (average)/semester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</si>
</sst>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1">
    <xf numFmtId="0" fontId="0" fillId="0" borderId="0" xfId="0"/>
    <xf numFmtId="9" fontId="0" fillId="2" borderId="0" xfId="0" applyNumberFormat="1" applyFill="1"/>
    <xf numFmtId="164" fontId="0" fillId="3" borderId="2" xfId="1" applyNumberFormat="1" applyFont="1" applyFill="1" applyBorder="1"/>
    <xf numFmtId="0" fontId="0" fillId="3" borderId="2" xfId="0" applyFill="1" applyBorder="1"/>
    <xf numFmtId="164" fontId="0" fillId="4" borderId="0" xfId="1" applyNumberFormat="1" applyFont="1" applyFill="1"/>
    <xf numFmtId="164" fontId="0" fillId="4" borderId="1" xfId="1" applyNumberFormat="1" applyFont="1" applyFill="1" applyBorder="1"/>
    <xf numFmtId="164" fontId="0" fillId="4" borderId="0" xfId="0" applyNumberFormat="1" applyFill="1"/>
    <xf numFmtId="0" fontId="2" fillId="4" borderId="0" xfId="0" applyFont="1" applyFill="1" applyAlignment="1">
      <alignment horizontal="center"/>
    </xf>
    <xf numFmtId="0" fontId="0" fillId="5" borderId="0" xfId="0" applyFill="1"/>
    <xf numFmtId="0" fontId="2" fillId="5" borderId="0" xfId="0" applyFont="1" applyFill="1"/>
    <xf numFmtId="0" fontId="0" fillId="5" borderId="0" xfId="0" applyFill="1" applyAlignment="1">
      <alignment horizontal="right"/>
    </xf>
    <xf numFmtId="0" fontId="2" fillId="5" borderId="0" xfId="0" applyFont="1" applyFill="1" applyAlignment="1">
      <alignment horizontal="right"/>
    </xf>
    <xf numFmtId="0" fontId="2" fillId="5" borderId="0" xfId="0" applyFont="1" applyFill="1" applyAlignment="1">
      <alignment horizontal="center"/>
    </xf>
    <xf numFmtId="0" fontId="0" fillId="6" borderId="0" xfId="0" applyFill="1"/>
    <xf numFmtId="9" fontId="0" fillId="6" borderId="0" xfId="2" applyFont="1" applyFill="1"/>
    <xf numFmtId="9" fontId="0" fillId="4" borderId="0" xfId="2" applyFont="1" applyFill="1"/>
    <xf numFmtId="164" fontId="0" fillId="6" borderId="0" xfId="0" applyNumberFormat="1" applyFill="1"/>
    <xf numFmtId="9" fontId="0" fillId="4" borderId="0" xfId="0" applyNumberFormat="1" applyFill="1"/>
    <xf numFmtId="164" fontId="0" fillId="4" borderId="0" xfId="0" applyNumberFormat="1" applyFill="1" applyBorder="1"/>
    <xf numFmtId="164" fontId="0" fillId="4" borderId="1" xfId="0" applyNumberFormat="1" applyFill="1" applyBorder="1"/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center" wrapText="1"/>
    </xf>
    <xf numFmtId="164" fontId="0" fillId="4" borderId="0" xfId="1" applyNumberFormat="1" applyFont="1" applyFill="1" applyBorder="1"/>
    <xf numFmtId="164" fontId="0" fillId="6" borderId="0" xfId="1" applyNumberFormat="1" applyFont="1" applyFill="1" applyBorder="1"/>
    <xf numFmtId="9" fontId="0" fillId="6" borderId="0" xfId="2" applyFont="1" applyFill="1" applyBorder="1"/>
    <xf numFmtId="165" fontId="0" fillId="6" borderId="0" xfId="0" applyNumberFormat="1" applyFill="1"/>
    <xf numFmtId="164" fontId="0" fillId="3" borderId="2" xfId="0" applyNumberFormat="1" applyFill="1" applyBorder="1"/>
    <xf numFmtId="0" fontId="0" fillId="5" borderId="0" xfId="0" applyFill="1" applyBorder="1" applyAlignment="1">
      <alignment horizontal="right"/>
    </xf>
    <xf numFmtId="164" fontId="0" fillId="6" borderId="0" xfId="0" applyNumberFormat="1" applyFill="1" applyBorder="1"/>
    <xf numFmtId="0" fontId="0" fillId="6" borderId="0" xfId="0" applyFill="1" applyBorder="1"/>
    <xf numFmtId="0" fontId="0" fillId="0" borderId="0" xfId="0" applyBorder="1"/>
    <xf numFmtId="166" fontId="0" fillId="3" borderId="2" xfId="2" applyNumberFormat="1" applyFont="1" applyFill="1" applyBorder="1"/>
    <xf numFmtId="166" fontId="0" fillId="4" borderId="0" xfId="2" applyNumberFormat="1" applyFont="1" applyFill="1"/>
    <xf numFmtId="166" fontId="0" fillId="4" borderId="0" xfId="0" applyNumberFormat="1" applyFill="1"/>
    <xf numFmtId="164" fontId="0" fillId="4" borderId="0" xfId="2" applyNumberFormat="1" applyFont="1" applyFill="1" applyBorder="1"/>
    <xf numFmtId="0" fontId="2" fillId="6" borderId="0" xfId="0" applyFont="1" applyFill="1" applyAlignment="1">
      <alignment horizontal="center"/>
    </xf>
    <xf numFmtId="0" fontId="0" fillId="3" borderId="4" xfId="0" applyFill="1" applyBorder="1"/>
    <xf numFmtId="0" fontId="0" fillId="3" borderId="8" xfId="0" applyFill="1" applyBorder="1"/>
    <xf numFmtId="164" fontId="0" fillId="3" borderId="9" xfId="1" applyNumberFormat="1" applyFont="1" applyFill="1" applyBorder="1"/>
    <xf numFmtId="0" fontId="0" fillId="6" borderId="10" xfId="0" applyFill="1" applyBorder="1"/>
    <xf numFmtId="0" fontId="0" fillId="6" borderId="11" xfId="0" applyFill="1" applyBorder="1"/>
    <xf numFmtId="0" fontId="0" fillId="3" borderId="13" xfId="0" applyFill="1" applyBorder="1"/>
    <xf numFmtId="0" fontId="2" fillId="5" borderId="10" xfId="0" applyFont="1" applyFill="1" applyBorder="1" applyAlignment="1">
      <alignment horizontal="center" wrapText="1"/>
    </xf>
    <xf numFmtId="0" fontId="2" fillId="5" borderId="0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/>
    </xf>
    <xf numFmtId="0" fontId="0" fillId="4" borderId="0" xfId="0" applyFill="1" applyBorder="1"/>
    <xf numFmtId="0" fontId="0" fillId="6" borderId="5" xfId="0" applyFill="1" applyBorder="1"/>
    <xf numFmtId="0" fontId="0" fillId="6" borderId="6" xfId="0" applyFill="1" applyBorder="1"/>
    <xf numFmtId="0" fontId="2" fillId="5" borderId="7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4" borderId="10" xfId="0" applyFill="1" applyBorder="1"/>
    <xf numFmtId="0" fontId="0" fillId="2" borderId="14" xfId="0" applyFill="1" applyBorder="1"/>
    <xf numFmtId="0" fontId="0" fillId="3" borderId="9" xfId="0" applyFill="1" applyBorder="1"/>
    <xf numFmtId="0" fontId="2" fillId="6" borderId="1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6" borderId="14" xfId="0" applyFont="1" applyFill="1" applyBorder="1"/>
    <xf numFmtId="0" fontId="2" fillId="5" borderId="14" xfId="0" applyFont="1" applyFill="1" applyBorder="1"/>
    <xf numFmtId="0" fontId="0" fillId="6" borderId="14" xfId="0" applyFill="1" applyBorder="1"/>
    <xf numFmtId="0" fontId="0" fillId="6" borderId="16" xfId="0" applyFill="1" applyBorder="1"/>
    <xf numFmtId="43" fontId="0" fillId="6" borderId="6" xfId="1" applyFont="1" applyFill="1" applyBorder="1"/>
    <xf numFmtId="0" fontId="2" fillId="4" borderId="6" xfId="0" applyFont="1" applyFill="1" applyBorder="1"/>
    <xf numFmtId="164" fontId="0" fillId="6" borderId="0" xfId="1" applyNumberFormat="1" applyFont="1" applyFill="1"/>
    <xf numFmtId="0" fontId="2" fillId="5" borderId="5" xfId="0" applyFont="1" applyFill="1" applyBorder="1" applyAlignment="1">
      <alignment horizontal="center"/>
    </xf>
    <xf numFmtId="0" fontId="0" fillId="6" borderId="7" xfId="0" applyFill="1" applyBorder="1"/>
    <xf numFmtId="0" fontId="2" fillId="5" borderId="10" xfId="0" applyFont="1" applyFill="1" applyBorder="1" applyAlignment="1">
      <alignment horizontal="right"/>
    </xf>
    <xf numFmtId="164" fontId="0" fillId="4" borderId="14" xfId="1" applyNumberFormat="1" applyFont="1" applyFill="1" applyBorder="1"/>
    <xf numFmtId="164" fontId="0" fillId="4" borderId="17" xfId="1" applyNumberFormat="1" applyFont="1" applyFill="1" applyBorder="1"/>
    <xf numFmtId="164" fontId="0" fillId="4" borderId="14" xfId="0" applyNumberFormat="1" applyFill="1" applyBorder="1"/>
    <xf numFmtId="0" fontId="3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164" fontId="0" fillId="4" borderId="12" xfId="0" applyNumberFormat="1" applyFill="1" applyBorder="1"/>
    <xf numFmtId="164" fontId="0" fillId="4" borderId="16" xfId="0" applyNumberFormat="1" applyFill="1" applyBorder="1"/>
    <xf numFmtId="0" fontId="2" fillId="4" borderId="0" xfId="0" applyFont="1" applyFill="1" applyAlignment="1">
      <alignment horizontal="right"/>
    </xf>
    <xf numFmtId="0" fontId="2" fillId="5" borderId="6" xfId="0" applyFont="1" applyFill="1" applyBorder="1" applyAlignment="1">
      <alignment horizontal="center"/>
    </xf>
    <xf numFmtId="164" fontId="0" fillId="5" borderId="0" xfId="0" applyNumberFormat="1" applyFill="1"/>
    <xf numFmtId="0" fontId="2" fillId="6" borderId="0" xfId="0" applyFont="1" applyFill="1"/>
    <xf numFmtId="0" fontId="0" fillId="5" borderId="6" xfId="0" applyFill="1" applyBorder="1"/>
    <xf numFmtId="0" fontId="0" fillId="5" borderId="5" xfId="0" applyFill="1" applyBorder="1"/>
    <xf numFmtId="0" fontId="2" fillId="6" borderId="14" xfId="0" applyFont="1" applyFill="1" applyBorder="1" applyAlignment="1">
      <alignment horizontal="left"/>
    </xf>
    <xf numFmtId="0" fontId="0" fillId="6" borderId="5" xfId="0" applyFill="1" applyBorder="1" applyAlignment="1"/>
    <xf numFmtId="0" fontId="0" fillId="6" borderId="6" xfId="0" applyFill="1" applyBorder="1" applyAlignment="1"/>
    <xf numFmtId="0" fontId="0" fillId="6" borderId="7" xfId="0" applyFill="1" applyBorder="1" applyAlignment="1"/>
    <xf numFmtId="0" fontId="0" fillId="6" borderId="0" xfId="0" applyFill="1" applyAlignment="1">
      <alignment horizontal="right"/>
    </xf>
    <xf numFmtId="164" fontId="0" fillId="3" borderId="18" xfId="1" applyNumberFormat="1" applyFont="1" applyFill="1" applyBorder="1"/>
    <xf numFmtId="0" fontId="0" fillId="3" borderId="19" xfId="0" applyFill="1" applyBorder="1"/>
    <xf numFmtId="164" fontId="0" fillId="3" borderId="19" xfId="1" applyNumberFormat="1" applyFont="1" applyFill="1" applyBorder="1"/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left"/>
    </xf>
    <xf numFmtId="164" fontId="0" fillId="4" borderId="10" xfId="1" applyNumberFormat="1" applyFont="1" applyFill="1" applyBorder="1"/>
    <xf numFmtId="164" fontId="0" fillId="4" borderId="15" xfId="1" applyNumberFormat="1" applyFont="1" applyFill="1" applyBorder="1"/>
    <xf numFmtId="164" fontId="0" fillId="4" borderId="11" xfId="1" applyNumberFormat="1" applyFont="1" applyFill="1" applyBorder="1"/>
    <xf numFmtId="164" fontId="0" fillId="4" borderId="12" xfId="1" applyNumberFormat="1" applyFont="1" applyFill="1" applyBorder="1"/>
    <xf numFmtId="164" fontId="2" fillId="5" borderId="0" xfId="0" applyNumberFormat="1" applyFont="1" applyFill="1" applyAlignment="1">
      <alignment horizontal="left"/>
    </xf>
    <xf numFmtId="0" fontId="0" fillId="4" borderId="0" xfId="0" applyFill="1"/>
    <xf numFmtId="0" fontId="2" fillId="4" borderId="0" xfId="0" applyFont="1" applyFill="1" applyAlignment="1">
      <alignment horizontal="left"/>
    </xf>
    <xf numFmtId="166" fontId="0" fillId="6" borderId="0" xfId="2" applyNumberFormat="1" applyFont="1" applyFill="1"/>
    <xf numFmtId="164" fontId="0" fillId="2" borderId="0" xfId="1" applyNumberFormat="1" applyFont="1" applyFill="1" applyBorder="1"/>
    <xf numFmtId="0" fontId="0" fillId="0" borderId="0" xfId="0" applyAlignment="1">
      <alignment horizontal="right"/>
    </xf>
    <xf numFmtId="164" fontId="0" fillId="2" borderId="1" xfId="1" applyNumberFormat="1" applyFont="1" applyFill="1" applyBorder="1"/>
    <xf numFmtId="0" fontId="0" fillId="7" borderId="0" xfId="0" applyFill="1"/>
    <xf numFmtId="0" fontId="2" fillId="7" borderId="0" xfId="0" applyFont="1" applyFill="1" applyAlignment="1">
      <alignment horizontal="left"/>
    </xf>
    <xf numFmtId="43" fontId="0" fillId="4" borderId="0" xfId="0" applyNumberFormat="1" applyFill="1"/>
    <xf numFmtId="164" fontId="2" fillId="5" borderId="0" xfId="1" applyNumberFormat="1" applyFont="1" applyFill="1" applyBorder="1" applyAlignment="1">
      <alignment horizontal="center"/>
    </xf>
    <xf numFmtId="0" fontId="4" fillId="4" borderId="0" xfId="0" applyFont="1" applyFill="1" applyAlignment="1">
      <alignment horizontal="right"/>
    </xf>
    <xf numFmtId="0" fontId="2" fillId="6" borderId="0" xfId="0" applyFont="1" applyFill="1" applyAlignment="1">
      <alignment horizontal="right"/>
    </xf>
    <xf numFmtId="166" fontId="0" fillId="6" borderId="0" xfId="0" applyNumberFormat="1" applyFill="1"/>
    <xf numFmtId="0" fontId="2" fillId="5" borderId="6" xfId="0" applyFont="1" applyFill="1" applyBorder="1"/>
    <xf numFmtId="0" fontId="4" fillId="3" borderId="2" xfId="0" applyFont="1" applyFill="1" applyBorder="1" applyAlignment="1">
      <alignment horizontal="right"/>
    </xf>
    <xf numFmtId="164" fontId="0" fillId="0" borderId="0" xfId="1" applyNumberFormat="1" applyFont="1"/>
    <xf numFmtId="164" fontId="0" fillId="4" borderId="6" xfId="0" applyNumberFormat="1" applyFill="1" applyBorder="1"/>
    <xf numFmtId="164" fontId="0" fillId="4" borderId="7" xfId="0" applyNumberFormat="1" applyFill="1" applyBorder="1"/>
    <xf numFmtId="164" fontId="1" fillId="3" borderId="2" xfId="1" applyNumberFormat="1" applyFont="1" applyFill="1" applyBorder="1" applyAlignment="1">
      <alignment horizontal="right"/>
    </xf>
    <xf numFmtId="164" fontId="5" fillId="8" borderId="0" xfId="0" applyNumberFormat="1" applyFont="1" applyFill="1"/>
    <xf numFmtId="164" fontId="1" fillId="4" borderId="0" xfId="1" applyNumberFormat="1" applyFont="1" applyFill="1" applyAlignment="1">
      <alignment horizontal="right"/>
    </xf>
    <xf numFmtId="0" fontId="2" fillId="5" borderId="0" xfId="0" applyFont="1" applyFill="1" applyBorder="1" applyAlignment="1">
      <alignment horizontal="right"/>
    </xf>
    <xf numFmtId="164" fontId="5" fillId="6" borderId="0" xfId="0" applyNumberFormat="1" applyFont="1" applyFill="1"/>
    <xf numFmtId="164" fontId="2" fillId="4" borderId="20" xfId="0" applyNumberFormat="1" applyFont="1" applyFill="1" applyBorder="1" applyAlignment="1">
      <alignment horizontal="right"/>
    </xf>
    <xf numFmtId="0" fontId="2" fillId="6" borderId="6" xfId="0" applyFont="1" applyFill="1" applyBorder="1" applyAlignment="1">
      <alignment horizontal="center"/>
    </xf>
    <xf numFmtId="164" fontId="1" fillId="4" borderId="0" xfId="1" applyNumberFormat="1" applyFont="1" applyFill="1" applyBorder="1" applyAlignment="1">
      <alignment horizontal="right"/>
    </xf>
    <xf numFmtId="164" fontId="1" fillId="4" borderId="14" xfId="1" applyNumberFormat="1" applyFont="1" applyFill="1" applyBorder="1" applyAlignment="1">
      <alignment horizontal="right"/>
    </xf>
    <xf numFmtId="164" fontId="1" fillId="6" borderId="0" xfId="1" applyNumberFormat="1" applyFont="1" applyFill="1" applyBorder="1" applyAlignment="1">
      <alignment horizontal="right"/>
    </xf>
    <xf numFmtId="164" fontId="0" fillId="6" borderId="14" xfId="1" applyNumberFormat="1" applyFont="1" applyFill="1" applyBorder="1"/>
    <xf numFmtId="164" fontId="2" fillId="4" borderId="0" xfId="1" applyNumberFormat="1" applyFont="1" applyFill="1" applyBorder="1" applyAlignment="1">
      <alignment horizontal="right"/>
    </xf>
    <xf numFmtId="164" fontId="2" fillId="4" borderId="14" xfId="1" applyNumberFormat="1" applyFont="1" applyFill="1" applyBorder="1" applyAlignment="1">
      <alignment horizontal="right"/>
    </xf>
    <xf numFmtId="164" fontId="0" fillId="4" borderId="17" xfId="0" applyNumberFormat="1" applyFill="1" applyBorder="1"/>
    <xf numFmtId="0" fontId="2" fillId="6" borderId="0" xfId="0" applyFont="1" applyFill="1" applyBorder="1" applyAlignment="1">
      <alignment horizontal="right"/>
    </xf>
    <xf numFmtId="164" fontId="2" fillId="4" borderId="0" xfId="0" applyNumberFormat="1" applyFont="1" applyFill="1" applyBorder="1" applyAlignment="1">
      <alignment horizontal="right"/>
    </xf>
    <xf numFmtId="164" fontId="2" fillId="4" borderId="14" xfId="0" applyNumberFormat="1" applyFont="1" applyFill="1" applyBorder="1" applyAlignment="1">
      <alignment horizontal="right"/>
    </xf>
    <xf numFmtId="164" fontId="2" fillId="4" borderId="21" xfId="0" applyNumberFormat="1" applyFont="1" applyFill="1" applyBorder="1" applyAlignment="1">
      <alignment horizontal="right"/>
    </xf>
    <xf numFmtId="0" fontId="2" fillId="5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0" fillId="4" borderId="1" xfId="1" applyNumberFormat="1" applyFont="1" applyFill="1" applyBorder="1" applyAlignment="1">
      <alignment horizontal="center"/>
    </xf>
    <xf numFmtId="0" fontId="1" fillId="4" borderId="1" xfId="1" applyNumberFormat="1" applyFont="1" applyFill="1" applyBorder="1" applyAlignment="1">
      <alignment horizontal="center"/>
    </xf>
    <xf numFmtId="164" fontId="0" fillId="6" borderId="14" xfId="0" applyNumberFormat="1" applyFill="1" applyBorder="1"/>
    <xf numFmtId="0" fontId="2" fillId="6" borderId="10" xfId="0" applyFont="1" applyFill="1" applyBorder="1" applyAlignment="1">
      <alignment horizontal="right"/>
    </xf>
    <xf numFmtId="164" fontId="1" fillId="3" borderId="22" xfId="1" applyNumberFormat="1" applyFont="1" applyFill="1" applyBorder="1" applyAlignment="1">
      <alignment horizontal="right"/>
    </xf>
    <xf numFmtId="0" fontId="6" fillId="6" borderId="6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right"/>
    </xf>
    <xf numFmtId="164" fontId="0" fillId="3" borderId="22" xfId="1" applyNumberFormat="1" applyFont="1" applyFill="1" applyBorder="1"/>
    <xf numFmtId="164" fontId="0" fillId="2" borderId="22" xfId="1" applyNumberFormat="1" applyFont="1" applyFill="1" applyBorder="1"/>
    <xf numFmtId="164" fontId="0" fillId="4" borderId="22" xfId="1" applyNumberFormat="1" applyFont="1" applyFill="1" applyBorder="1"/>
    <xf numFmtId="0" fontId="2" fillId="4" borderId="1" xfId="2" applyNumberFormat="1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0" fillId="3" borderId="22" xfId="0" applyFill="1" applyBorder="1"/>
    <xf numFmtId="0" fontId="2" fillId="4" borderId="15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166" fontId="0" fillId="2" borderId="0" xfId="0" applyNumberFormat="1" applyFill="1" applyBorder="1"/>
    <xf numFmtId="166" fontId="0" fillId="4" borderId="0" xfId="0" applyNumberFormat="1" applyFill="1" applyBorder="1"/>
    <xf numFmtId="166" fontId="0" fillId="2" borderId="0" xfId="0" applyNumberFormat="1" applyFill="1"/>
    <xf numFmtId="166" fontId="0" fillId="2" borderId="0" xfId="2" applyNumberFormat="1" applyFont="1" applyFill="1"/>
    <xf numFmtId="166" fontId="0" fillId="3" borderId="0" xfId="0" applyNumberFormat="1" applyFill="1" applyAlignment="1">
      <alignment horizontal="right"/>
    </xf>
    <xf numFmtId="166" fontId="0" fillId="2" borderId="0" xfId="2" applyNumberFormat="1" applyFont="1" applyFill="1" applyBorder="1"/>
    <xf numFmtId="166" fontId="0" fillId="4" borderId="0" xfId="2" applyNumberFormat="1" applyFont="1" applyFill="1" applyBorder="1"/>
    <xf numFmtId="166" fontId="0" fillId="2" borderId="3" xfId="2" applyNumberFormat="1" applyFont="1" applyFill="1" applyBorder="1"/>
    <xf numFmtId="166" fontId="1" fillId="3" borderId="2" xfId="2" applyNumberFormat="1" applyFont="1" applyFill="1" applyBorder="1" applyAlignment="1">
      <alignment horizontal="right"/>
    </xf>
    <xf numFmtId="0" fontId="0" fillId="6" borderId="0" xfId="0" applyFont="1" applyFill="1" applyAlignment="1">
      <alignment horizontal="right"/>
    </xf>
    <xf numFmtId="0" fontId="4" fillId="4" borderId="5" xfId="0" applyFont="1" applyFill="1" applyBorder="1" applyAlignment="1">
      <alignment horizontal="right"/>
    </xf>
    <xf numFmtId="166" fontId="1" fillId="6" borderId="0" xfId="2" applyNumberFormat="1" applyFont="1" applyFill="1" applyBorder="1" applyAlignment="1">
      <alignment horizontal="right"/>
    </xf>
    <xf numFmtId="0" fontId="6" fillId="5" borderId="0" xfId="0" applyFont="1" applyFill="1" applyAlignment="1">
      <alignment horizontal="center"/>
    </xf>
    <xf numFmtId="164" fontId="1" fillId="6" borderId="0" xfId="1" applyNumberFormat="1" applyFont="1" applyFill="1" applyAlignment="1">
      <alignment horizontal="right"/>
    </xf>
    <xf numFmtId="0" fontId="0" fillId="5" borderId="10" xfId="0" applyFill="1" applyBorder="1" applyAlignment="1">
      <alignment horizontal="right"/>
    </xf>
    <xf numFmtId="0" fontId="2" fillId="4" borderId="0" xfId="0" applyFont="1" applyFill="1" applyAlignment="1">
      <alignment horizontal="left" vertical="top"/>
    </xf>
    <xf numFmtId="0" fontId="0" fillId="4" borderId="0" xfId="0" applyFill="1" applyAlignment="1">
      <alignment horizontal="right"/>
    </xf>
    <xf numFmtId="0" fontId="0" fillId="4" borderId="1" xfId="0" applyFill="1" applyBorder="1" applyAlignment="1">
      <alignment horizontal="center"/>
    </xf>
    <xf numFmtId="167" fontId="0" fillId="4" borderId="0" xfId="1" applyNumberFormat="1" applyFont="1" applyFill="1"/>
    <xf numFmtId="165" fontId="0" fillId="4" borderId="0" xfId="3" applyNumberFormat="1" applyFont="1" applyFill="1"/>
    <xf numFmtId="164" fontId="0" fillId="5" borderId="0" xfId="1" applyNumberFormat="1" applyFont="1" applyFill="1" applyBorder="1"/>
    <xf numFmtId="166" fontId="0" fillId="6" borderId="0" xfId="0" applyNumberFormat="1" applyFill="1" applyAlignment="1">
      <alignment horizontal="right"/>
    </xf>
    <xf numFmtId="0" fontId="7" fillId="5" borderId="0" xfId="0" applyFont="1" applyFill="1" applyAlignment="1">
      <alignment horizontal="right"/>
    </xf>
    <xf numFmtId="0" fontId="0" fillId="5" borderId="0" xfId="0" applyFill="1" applyAlignment="1">
      <alignment horizontal="left"/>
    </xf>
    <xf numFmtId="0" fontId="0" fillId="7" borderId="0" xfId="0" applyFill="1" applyAlignment="1">
      <alignment horizontal="right"/>
    </xf>
    <xf numFmtId="166" fontId="0" fillId="2" borderId="0" xfId="0" applyNumberFormat="1" applyFill="1" applyAlignment="1">
      <alignment horizontal="right"/>
    </xf>
    <xf numFmtId="0" fontId="2" fillId="4" borderId="1" xfId="0" applyNumberFormat="1" applyFont="1" applyFill="1" applyBorder="1" applyAlignment="1">
      <alignment horizontal="center"/>
    </xf>
    <xf numFmtId="166" fontId="0" fillId="2" borderId="0" xfId="0" applyNumberFormat="1" applyFill="1" applyAlignment="1">
      <alignment horizontal="left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nrollment"/>
      <sheetName val="StuFlow"/>
      <sheetName val="Cash"/>
      <sheetName val="Staffing"/>
      <sheetName val="KPIs"/>
    </sheetNames>
    <sheetDataSet>
      <sheetData sheetId="0">
        <row r="7">
          <cell r="E7" t="str">
            <v>Gifts</v>
          </cell>
        </row>
        <row r="9">
          <cell r="E9" t="str">
            <v>Miscellaneous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4FE6-19B9-4822-88BE-F2157F18F6E9}">
  <dimension ref="A1:N52"/>
  <sheetViews>
    <sheetView tabSelected="1" workbookViewId="0"/>
  </sheetViews>
  <sheetFormatPr defaultRowHeight="15" x14ac:dyDescent="0.25"/>
  <cols>
    <col min="1" max="1" width="35.5703125" customWidth="1"/>
    <col min="2" max="4" width="12" customWidth="1"/>
    <col min="5" max="5" width="22.7109375" customWidth="1"/>
    <col min="6" max="7" width="12" customWidth="1"/>
    <col min="8" max="8" width="11.85546875" customWidth="1"/>
    <col min="9" max="9" width="12" customWidth="1"/>
    <col min="10" max="10" width="12.7109375" customWidth="1"/>
    <col min="11" max="11" width="12" customWidth="1"/>
    <col min="12" max="12" width="12.140625" customWidth="1"/>
    <col min="13" max="13" width="12" customWidth="1"/>
    <col min="15" max="15" width="11.5703125" customWidth="1"/>
  </cols>
  <sheetData>
    <row r="1" spans="1:14" ht="16.5" thickBot="1" x14ac:dyDescent="0.3">
      <c r="A1" s="108" t="s">
        <v>184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4" x14ac:dyDescent="0.25">
      <c r="A2" s="9" t="s">
        <v>0</v>
      </c>
      <c r="B2" s="13"/>
      <c r="C2" s="13"/>
      <c r="D2" s="13"/>
      <c r="E2" s="134" t="s">
        <v>2</v>
      </c>
      <c r="F2" s="48"/>
      <c r="G2" s="48"/>
      <c r="H2" s="48"/>
      <c r="I2" s="48"/>
      <c r="J2" s="48"/>
      <c r="K2" s="64"/>
      <c r="L2" s="13"/>
      <c r="M2" s="13"/>
    </row>
    <row r="3" spans="1:14" x14ac:dyDescent="0.25">
      <c r="A3" s="10" t="s">
        <v>11</v>
      </c>
      <c r="B3" s="31">
        <v>-0.01</v>
      </c>
      <c r="C3" s="8" t="s">
        <v>34</v>
      </c>
      <c r="D3" s="8"/>
      <c r="E3" s="65" t="s">
        <v>190</v>
      </c>
      <c r="F3" s="132">
        <f>B29+1</f>
        <v>2022</v>
      </c>
      <c r="G3" s="132">
        <f>F3+1</f>
        <v>2023</v>
      </c>
      <c r="H3" s="132">
        <f>G3+1</f>
        <v>2024</v>
      </c>
      <c r="I3" s="132">
        <f>H3+1</f>
        <v>2025</v>
      </c>
      <c r="J3" s="132">
        <f>I3+1</f>
        <v>2026</v>
      </c>
      <c r="K3" s="133">
        <f>J3+1</f>
        <v>2027</v>
      </c>
      <c r="L3" s="13"/>
      <c r="M3" s="13"/>
    </row>
    <row r="4" spans="1:14" x14ac:dyDescent="0.25">
      <c r="A4" s="10" t="s">
        <v>36</v>
      </c>
      <c r="B4" s="31">
        <v>0.02</v>
      </c>
      <c r="C4" s="8" t="s">
        <v>35</v>
      </c>
      <c r="D4" s="8"/>
      <c r="E4" s="65" t="s">
        <v>12</v>
      </c>
      <c r="F4" s="22">
        <f>Enrollment!C41+Enrollment!C42</f>
        <v>38535343.624230802</v>
      </c>
      <c r="G4" s="22">
        <f>Enrollment!D41+Enrollment!D42</f>
        <v>36508069.711600035</v>
      </c>
      <c r="H4" s="22">
        <f>Enrollment!E41+Enrollment!E42</f>
        <v>35284768.079533145</v>
      </c>
      <c r="I4" s="22">
        <f>Enrollment!F41+Enrollment!F42</f>
        <v>32498470.9975003</v>
      </c>
      <c r="J4" s="22">
        <f>Enrollment!G41+Enrollment!G42</f>
        <v>32553080.328886427</v>
      </c>
      <c r="K4" s="66">
        <f>Enrollment!H41+Enrollment!H42</f>
        <v>29861509.329396181</v>
      </c>
      <c r="L4" s="13"/>
      <c r="M4" s="13"/>
    </row>
    <row r="5" spans="1:14" x14ac:dyDescent="0.25">
      <c r="A5" s="167" t="s">
        <v>202</v>
      </c>
      <c r="B5" s="31">
        <v>0.05</v>
      </c>
      <c r="C5" s="8" t="s">
        <v>204</v>
      </c>
      <c r="D5" s="8"/>
      <c r="E5" s="65" t="s">
        <v>13</v>
      </c>
      <c r="F5" s="5">
        <f>Enrollment!C60+Enrollment!C61</f>
        <v>11775084.404991686</v>
      </c>
      <c r="G5" s="5">
        <f>Enrollment!D60+Enrollment!D61</f>
        <v>12226249.513384748</v>
      </c>
      <c r="H5" s="5">
        <f>Enrollment!E60+Enrollment!E61</f>
        <v>13021939.804719251</v>
      </c>
      <c r="I5" s="5">
        <f>Enrollment!F60+Enrollment!F61</f>
        <v>13104875.383655703</v>
      </c>
      <c r="J5" s="5">
        <f>Enrollment!G60+Enrollment!G61</f>
        <v>14610084.012124624</v>
      </c>
      <c r="K5" s="67">
        <f>Enrollment!H60+Enrollment!H61</f>
        <v>15265124.906377412</v>
      </c>
      <c r="L5" s="13"/>
      <c r="M5" s="13"/>
    </row>
    <row r="6" spans="1:14" x14ac:dyDescent="0.25">
      <c r="A6" s="167" t="s">
        <v>58</v>
      </c>
      <c r="B6" s="31">
        <v>0.6</v>
      </c>
      <c r="C6" s="13"/>
      <c r="D6" s="13"/>
      <c r="E6" s="65" t="s">
        <v>14</v>
      </c>
      <c r="F6" s="18">
        <f t="shared" ref="F6" si="0">F4-F5</f>
        <v>26760259.219239116</v>
      </c>
      <c r="G6" s="18">
        <f t="shared" ref="G6" si="1">G4-G5</f>
        <v>24281820.198215287</v>
      </c>
      <c r="H6" s="18">
        <f t="shared" ref="H6" si="2">H4-H5</f>
        <v>22262828.274813894</v>
      </c>
      <c r="I6" s="18">
        <f t="shared" ref="I6" si="3">I4-I5</f>
        <v>19393595.613844596</v>
      </c>
      <c r="J6" s="18">
        <f t="shared" ref="J6" si="4">J4-J5</f>
        <v>17942996.316761803</v>
      </c>
      <c r="K6" s="68">
        <f t="shared" ref="K6" si="5">K4-K5</f>
        <v>14596384.423018768</v>
      </c>
      <c r="L6" s="13"/>
      <c r="M6" s="13"/>
    </row>
    <row r="7" spans="1:14" x14ac:dyDescent="0.25">
      <c r="A7" s="167" t="s">
        <v>203</v>
      </c>
      <c r="B7" s="31">
        <v>0.05</v>
      </c>
      <c r="C7" s="8" t="s">
        <v>55</v>
      </c>
      <c r="D7" s="8"/>
      <c r="E7" s="65" t="s">
        <v>3</v>
      </c>
      <c r="F7" s="22">
        <f>Enrollment!C73</f>
        <v>3000000</v>
      </c>
      <c r="G7" s="22">
        <f>Enrollment!D73</f>
        <v>3560000</v>
      </c>
      <c r="H7" s="22">
        <f>Enrollment!E73</f>
        <v>3121200</v>
      </c>
      <c r="I7" s="22">
        <f>Enrollment!F73</f>
        <v>3183624</v>
      </c>
      <c r="J7" s="22">
        <f>Enrollment!G73</f>
        <v>3247296.48</v>
      </c>
      <c r="K7" s="66">
        <f>Enrollment!H73</f>
        <v>3312242.4095999999</v>
      </c>
      <c r="L7" s="13"/>
      <c r="M7" s="13"/>
    </row>
    <row r="8" spans="1:14" x14ac:dyDescent="0.25">
      <c r="A8" s="10" t="s">
        <v>60</v>
      </c>
      <c r="B8" s="31">
        <v>0</v>
      </c>
      <c r="C8" s="8" t="s">
        <v>151</v>
      </c>
      <c r="D8" s="8"/>
      <c r="E8" s="65" t="s">
        <v>149</v>
      </c>
      <c r="F8" s="22">
        <f>Cash!B20</f>
        <v>75000</v>
      </c>
      <c r="G8" s="22">
        <f>Cash!C20</f>
        <v>150000</v>
      </c>
      <c r="H8" s="22">
        <f>Cash!D20</f>
        <v>200000</v>
      </c>
      <c r="I8" s="22">
        <f>Cash!E20</f>
        <v>120000</v>
      </c>
      <c r="J8" s="22">
        <f>Cash!F20</f>
        <v>0</v>
      </c>
      <c r="K8" s="66">
        <f>Cash!G20</f>
        <v>0</v>
      </c>
      <c r="L8" s="13"/>
      <c r="M8" s="13"/>
      <c r="N8" s="13"/>
    </row>
    <row r="9" spans="1:14" x14ac:dyDescent="0.25">
      <c r="A9" s="10" t="s">
        <v>61</v>
      </c>
      <c r="B9" s="31">
        <v>0</v>
      </c>
      <c r="C9" s="8" t="s">
        <v>151</v>
      </c>
      <c r="D9" s="8"/>
      <c r="E9" s="65" t="s">
        <v>4</v>
      </c>
      <c r="F9" s="5">
        <f>Enrollment!C74</f>
        <v>500000</v>
      </c>
      <c r="G9" s="5">
        <f>Enrollment!D74</f>
        <v>560000</v>
      </c>
      <c r="H9" s="5">
        <f>Enrollment!E74</f>
        <v>520200</v>
      </c>
      <c r="I9" s="5">
        <f>Enrollment!F74</f>
        <v>530604</v>
      </c>
      <c r="J9" s="5">
        <f>Enrollment!G74</f>
        <v>541216.07999999996</v>
      </c>
      <c r="K9" s="67">
        <f>Enrollment!H74</f>
        <v>552040.40159999998</v>
      </c>
      <c r="L9" s="13"/>
      <c r="M9" s="13"/>
    </row>
    <row r="10" spans="1:14" x14ac:dyDescent="0.25">
      <c r="A10" s="10" t="s">
        <v>185</v>
      </c>
      <c r="B10" s="2">
        <v>500000</v>
      </c>
      <c r="C10" s="13"/>
      <c r="D10" s="13"/>
      <c r="E10" s="69" t="s">
        <v>31</v>
      </c>
      <c r="F10" s="18">
        <f t="shared" ref="F10:K10" si="6">SUM(F6:F9)</f>
        <v>30335259.219239116</v>
      </c>
      <c r="G10" s="18">
        <f t="shared" si="6"/>
        <v>28551820.198215287</v>
      </c>
      <c r="H10" s="18">
        <f t="shared" si="6"/>
        <v>26104228.274813894</v>
      </c>
      <c r="I10" s="18">
        <f t="shared" si="6"/>
        <v>23227823.613844596</v>
      </c>
      <c r="J10" s="18">
        <f t="shared" si="6"/>
        <v>21731508.876761802</v>
      </c>
      <c r="K10" s="68">
        <f t="shared" si="6"/>
        <v>18460667.234218769</v>
      </c>
      <c r="L10" s="13"/>
      <c r="M10" s="13"/>
    </row>
    <row r="11" spans="1:14" x14ac:dyDescent="0.25">
      <c r="A11" s="10" t="s">
        <v>186</v>
      </c>
      <c r="B11" s="31">
        <v>0.1</v>
      </c>
      <c r="C11" s="13"/>
      <c r="D11" s="13"/>
      <c r="E11" s="39"/>
      <c r="F11" s="29"/>
      <c r="G11" s="29"/>
      <c r="H11" s="29"/>
      <c r="I11" s="29"/>
      <c r="J11" s="29"/>
      <c r="K11" s="58"/>
      <c r="L11" s="13"/>
      <c r="M11" s="13"/>
    </row>
    <row r="12" spans="1:14" x14ac:dyDescent="0.25">
      <c r="A12" s="10" t="s">
        <v>69</v>
      </c>
      <c r="B12" s="31">
        <v>0.01</v>
      </c>
      <c r="C12" s="8" t="s">
        <v>151</v>
      </c>
      <c r="D12" s="8"/>
      <c r="E12" s="135" t="s">
        <v>77</v>
      </c>
      <c r="F12" s="132">
        <f>B29+1</f>
        <v>2022</v>
      </c>
      <c r="G12" s="132">
        <f>F12+1</f>
        <v>2023</v>
      </c>
      <c r="H12" s="132">
        <f t="shared" ref="H12:K12" si="7">G12+1</f>
        <v>2024</v>
      </c>
      <c r="I12" s="132">
        <f t="shared" si="7"/>
        <v>2025</v>
      </c>
      <c r="J12" s="132">
        <f t="shared" si="7"/>
        <v>2026</v>
      </c>
      <c r="K12" s="133">
        <f t="shared" si="7"/>
        <v>2027</v>
      </c>
      <c r="L12" s="13"/>
      <c r="M12" s="13"/>
    </row>
    <row r="13" spans="1:14" x14ac:dyDescent="0.25">
      <c r="A13" s="10" t="s">
        <v>70</v>
      </c>
      <c r="B13" s="31">
        <v>0</v>
      </c>
      <c r="C13" s="8" t="s">
        <v>151</v>
      </c>
      <c r="D13" s="8"/>
      <c r="E13" s="65" t="s">
        <v>6</v>
      </c>
      <c r="F13" s="22">
        <f>Staffing!B90</f>
        <v>17449000</v>
      </c>
      <c r="G13" s="22">
        <f>Staffing!C90</f>
        <v>17631969.130434781</v>
      </c>
      <c r="H13" s="22">
        <f>Staffing!D90</f>
        <v>17855624.019554783</v>
      </c>
      <c r="I13" s="22">
        <f>Staffing!E90</f>
        <v>18021902.906612355</v>
      </c>
      <c r="J13" s="22">
        <f>Staffing!F90</f>
        <v>18779381.492819179</v>
      </c>
      <c r="K13" s="66">
        <f>Staffing!G90</f>
        <v>18319229.524464112</v>
      </c>
      <c r="L13" s="13"/>
      <c r="M13" s="13"/>
    </row>
    <row r="14" spans="1:14" x14ac:dyDescent="0.25">
      <c r="A14" s="10" t="s">
        <v>71</v>
      </c>
      <c r="B14" s="31">
        <v>0.01</v>
      </c>
      <c r="C14" s="8" t="s">
        <v>151</v>
      </c>
      <c r="D14" s="8"/>
      <c r="E14" s="65" t="s">
        <v>7</v>
      </c>
      <c r="F14" s="22">
        <f>Staffing!B91</f>
        <v>2298000</v>
      </c>
      <c r="G14" s="22">
        <f>Staffing!C91</f>
        <v>2320265.9130434785</v>
      </c>
      <c r="H14" s="22">
        <f>Staffing!D91</f>
        <v>2342246.3882434783</v>
      </c>
      <c r="I14" s="22">
        <f>Staffing!E91</f>
        <v>2365214.7526027928</v>
      </c>
      <c r="J14" s="22">
        <f>Staffing!F91</f>
        <v>2387894.605530608</v>
      </c>
      <c r="K14" s="66">
        <f>Staffing!G91</f>
        <v>2410248.6991709988</v>
      </c>
      <c r="L14" s="13"/>
      <c r="M14" s="13"/>
    </row>
    <row r="15" spans="1:14" x14ac:dyDescent="0.25">
      <c r="A15" s="10" t="s">
        <v>72</v>
      </c>
      <c r="B15" s="31">
        <v>0.01</v>
      </c>
      <c r="C15" s="8" t="s">
        <v>151</v>
      </c>
      <c r="D15" s="8"/>
      <c r="E15" s="65" t="s">
        <v>8</v>
      </c>
      <c r="F15" s="22">
        <f>Staffing!B92</f>
        <v>2336000</v>
      </c>
      <c r="G15" s="22">
        <f>Staffing!C92</f>
        <v>2346045.4956521741</v>
      </c>
      <c r="H15" s="22">
        <f>Staffing!D92</f>
        <v>2538422.8265321744</v>
      </c>
      <c r="I15" s="22">
        <f>Staffing!E92</f>
        <v>2548028.0652984735</v>
      </c>
      <c r="J15" s="22">
        <f>Staffing!F92</f>
        <v>2556503.5476045767</v>
      </c>
      <c r="K15" s="66">
        <f>Staffing!G92</f>
        <v>2563773.5349459876</v>
      </c>
      <c r="L15" s="13"/>
      <c r="M15" s="13"/>
    </row>
    <row r="16" spans="1:14" x14ac:dyDescent="0.25">
      <c r="A16" s="10" t="s">
        <v>38</v>
      </c>
      <c r="B16" s="2">
        <v>-4</v>
      </c>
      <c r="C16" s="8" t="s">
        <v>37</v>
      </c>
      <c r="D16" s="8"/>
      <c r="E16" s="65" t="s">
        <v>9</v>
      </c>
      <c r="F16" s="22">
        <f>Staffing!B93</f>
        <v>1459000</v>
      </c>
      <c r="G16" s="22">
        <f>Staffing!C93</f>
        <v>1467190.3304347827</v>
      </c>
      <c r="H16" s="22">
        <f>Staffing!D93</f>
        <v>1474920.4265947829</v>
      </c>
      <c r="I16" s="22">
        <f>Staffing!E93</f>
        <v>1483139.7505515676</v>
      </c>
      <c r="J16" s="22">
        <f>Staffing!F93</f>
        <v>1590882.2587269132</v>
      </c>
      <c r="K16" s="66">
        <f>Staffing!G93</f>
        <v>2702112.7053246824</v>
      </c>
      <c r="L16" s="13"/>
      <c r="M16" s="13"/>
    </row>
    <row r="17" spans="1:13" x14ac:dyDescent="0.25">
      <c r="A17" s="10" t="s">
        <v>39</v>
      </c>
      <c r="B17" s="2">
        <v>-3</v>
      </c>
      <c r="C17" s="8" t="s">
        <v>37</v>
      </c>
      <c r="D17" s="8"/>
      <c r="E17" s="65" t="s">
        <v>10</v>
      </c>
      <c r="F17" s="5">
        <f>Staffing!B94</f>
        <v>2569000</v>
      </c>
      <c r="G17" s="5">
        <f>Staffing!C94</f>
        <v>2611190.3304347824</v>
      </c>
      <c r="H17" s="5">
        <f>Staffing!D94</f>
        <v>2745892.0665947828</v>
      </c>
      <c r="I17" s="5">
        <f>Staffing!E94</f>
        <v>2990368.5399915678</v>
      </c>
      <c r="J17" s="5">
        <f>Staffing!F94</f>
        <v>3043386.6480973139</v>
      </c>
      <c r="K17" s="67">
        <f>Staffing!G94</f>
        <v>3097271.2165508103</v>
      </c>
      <c r="L17" s="13"/>
      <c r="M17" s="13"/>
    </row>
    <row r="18" spans="1:13" x14ac:dyDescent="0.25">
      <c r="A18" s="10" t="s">
        <v>67</v>
      </c>
      <c r="B18" s="2">
        <v>8</v>
      </c>
      <c r="C18" s="8" t="s">
        <v>37</v>
      </c>
      <c r="D18" s="8"/>
      <c r="E18" s="69" t="s">
        <v>32</v>
      </c>
      <c r="F18" s="22">
        <f>Staffing!B95</f>
        <v>26111000</v>
      </c>
      <c r="G18" s="22">
        <f>Staffing!C95</f>
        <v>26376661.199999996</v>
      </c>
      <c r="H18" s="22">
        <f>Staffing!D95</f>
        <v>26957105.72752</v>
      </c>
      <c r="I18" s="22">
        <f>Staffing!E95</f>
        <v>27408654.015056755</v>
      </c>
      <c r="J18" s="22">
        <f>Staffing!F95</f>
        <v>28358048.55277859</v>
      </c>
      <c r="K18" s="66">
        <f>Staffing!G95</f>
        <v>29092635.680456594</v>
      </c>
      <c r="L18" s="13"/>
      <c r="M18" s="13"/>
    </row>
    <row r="19" spans="1:13" x14ac:dyDescent="0.25">
      <c r="A19" s="10" t="s">
        <v>68</v>
      </c>
      <c r="B19" s="2">
        <v>-1</v>
      </c>
      <c r="C19" s="8" t="s">
        <v>37</v>
      </c>
      <c r="D19" s="8"/>
      <c r="E19" s="39"/>
      <c r="F19" s="29"/>
      <c r="G19" s="29"/>
      <c r="H19" s="29"/>
      <c r="I19" s="29"/>
      <c r="J19" s="29"/>
      <c r="K19" s="58"/>
      <c r="L19" s="13"/>
      <c r="M19" s="13"/>
    </row>
    <row r="20" spans="1:13" ht="15.75" thickBot="1" x14ac:dyDescent="0.3">
      <c r="A20" s="10" t="s">
        <v>42</v>
      </c>
      <c r="B20" s="31">
        <v>0.02</v>
      </c>
      <c r="C20" s="8" t="s">
        <v>151</v>
      </c>
      <c r="D20" s="8"/>
      <c r="E20" s="70" t="s">
        <v>33</v>
      </c>
      <c r="F20" s="71">
        <f t="shared" ref="F20:K20" si="8">F10-F18</f>
        <v>4224259.2192391157</v>
      </c>
      <c r="G20" s="71">
        <f t="shared" si="8"/>
        <v>2175158.9982152916</v>
      </c>
      <c r="H20" s="71">
        <f t="shared" si="8"/>
        <v>-852877.45270610601</v>
      </c>
      <c r="I20" s="71">
        <f t="shared" si="8"/>
        <v>-4180830.4012121595</v>
      </c>
      <c r="J20" s="71">
        <f t="shared" si="8"/>
        <v>-6626539.6760167889</v>
      </c>
      <c r="K20" s="72">
        <f t="shared" si="8"/>
        <v>-10631968.446237825</v>
      </c>
      <c r="L20" s="13"/>
      <c r="M20" s="13"/>
    </row>
    <row r="21" spans="1:13" ht="15.75" thickBot="1" x14ac:dyDescent="0.3">
      <c r="A21" s="13"/>
      <c r="B21" s="14"/>
      <c r="C21" s="13"/>
      <c r="D21" s="13"/>
      <c r="E21" s="54"/>
      <c r="F21" s="28"/>
      <c r="G21" s="28"/>
      <c r="H21" s="28"/>
      <c r="I21" s="28"/>
      <c r="J21" s="28"/>
      <c r="K21" s="138"/>
      <c r="L21" s="13"/>
      <c r="M21" s="13"/>
    </row>
    <row r="22" spans="1:13" x14ac:dyDescent="0.25">
      <c r="A22" s="9" t="s">
        <v>53</v>
      </c>
      <c r="B22" s="13"/>
      <c r="C22" s="13"/>
      <c r="D22" s="13"/>
      <c r="E22" s="63" t="s">
        <v>142</v>
      </c>
      <c r="F22" s="110">
        <f>Cash!B3</f>
        <v>500000</v>
      </c>
      <c r="G22" s="110">
        <f>F23</f>
        <v>4483926.2582771601</v>
      </c>
      <c r="H22" s="110">
        <f t="shared" ref="H22:K22" si="9">G23</f>
        <v>6773673.1635436425</v>
      </c>
      <c r="I22" s="110">
        <f t="shared" si="9"/>
        <v>6168348.2955852076</v>
      </c>
      <c r="J22" s="110">
        <f t="shared" si="9"/>
        <v>2148543.2128012916</v>
      </c>
      <c r="K22" s="111">
        <f t="shared" si="9"/>
        <v>-4512515.4761375189</v>
      </c>
      <c r="L22" s="13"/>
      <c r="M22" s="13"/>
    </row>
    <row r="23" spans="1:13" ht="15.75" thickBot="1" x14ac:dyDescent="0.3">
      <c r="A23" s="10" t="s">
        <v>1</v>
      </c>
      <c r="B23" s="31">
        <v>0.02</v>
      </c>
      <c r="C23" s="13"/>
      <c r="D23" s="13"/>
      <c r="E23" s="70" t="s">
        <v>143</v>
      </c>
      <c r="F23" s="71">
        <f>Cash!B13</f>
        <v>4483926.2582771601</v>
      </c>
      <c r="G23" s="71">
        <f>Cash!C13</f>
        <v>6773673.1635436425</v>
      </c>
      <c r="H23" s="71">
        <f>Cash!D13</f>
        <v>6168348.2955852076</v>
      </c>
      <c r="I23" s="71">
        <f>Cash!E13</f>
        <v>2148543.2128012916</v>
      </c>
      <c r="J23" s="71">
        <f>Cash!F13</f>
        <v>-4512515.4761375189</v>
      </c>
      <c r="K23" s="72">
        <f>Cash!G13</f>
        <v>-15109511.794917252</v>
      </c>
      <c r="L23" s="13"/>
      <c r="M23" s="13"/>
    </row>
    <row r="24" spans="1:13" x14ac:dyDescent="0.25">
      <c r="A24" s="10" t="s">
        <v>65</v>
      </c>
      <c r="B24" s="31">
        <v>0.45</v>
      </c>
      <c r="C24" s="8" t="s">
        <v>40</v>
      </c>
      <c r="D24" s="8"/>
      <c r="E24" s="13"/>
      <c r="F24" s="13"/>
      <c r="G24" s="13"/>
      <c r="H24" s="13"/>
      <c r="I24" s="13"/>
      <c r="J24" s="13"/>
      <c r="K24" s="13"/>
      <c r="L24" s="13"/>
      <c r="M24" s="13"/>
    </row>
    <row r="25" spans="1:13" x14ac:dyDescent="0.25">
      <c r="A25" s="10" t="s">
        <v>66</v>
      </c>
      <c r="B25" s="31">
        <v>0.1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x14ac:dyDescent="0.25">
      <c r="A26" s="10" t="s">
        <v>75</v>
      </c>
      <c r="B26" s="31">
        <v>0.02</v>
      </c>
      <c r="C26" s="8" t="s">
        <v>41</v>
      </c>
      <c r="D26" s="8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25">
      <c r="A27" s="10" t="s">
        <v>76</v>
      </c>
      <c r="B27" s="31">
        <v>0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x14ac:dyDescent="0.25">
      <c r="A28" s="83"/>
      <c r="B28" s="24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x14ac:dyDescent="0.25">
      <c r="A29" s="10" t="s">
        <v>5</v>
      </c>
      <c r="B29" s="3">
        <v>2021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x14ac:dyDescent="0.25">
      <c r="A30" s="13"/>
      <c r="B30" s="14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26EAE-6469-47B7-AC92-C4C09F936CD4}">
  <dimension ref="A1:Q87"/>
  <sheetViews>
    <sheetView zoomScaleNormal="100" workbookViewId="0"/>
  </sheetViews>
  <sheetFormatPr defaultRowHeight="15" x14ac:dyDescent="0.25"/>
  <cols>
    <col min="1" max="1" width="38.85546875" customWidth="1"/>
    <col min="2" max="2" width="13" customWidth="1"/>
    <col min="3" max="14" width="11.7109375" customWidth="1"/>
  </cols>
  <sheetData>
    <row r="1" spans="1:17" x14ac:dyDescent="0.25">
      <c r="A1" s="73" t="str">
        <f>Summary!A1</f>
        <v>Big Desert College</v>
      </c>
      <c r="B1" s="13"/>
      <c r="C1" s="11" t="s">
        <v>83</v>
      </c>
      <c r="D1" s="180">
        <f>Summary!B3</f>
        <v>-0.01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174"/>
      <c r="B2" s="11" t="s">
        <v>246</v>
      </c>
      <c r="C2" s="132">
        <f>C69</f>
        <v>2022</v>
      </c>
      <c r="D2" s="132">
        <f t="shared" ref="D2:H2" si="0">D69</f>
        <v>2023</v>
      </c>
      <c r="E2" s="132">
        <f t="shared" si="0"/>
        <v>2024</v>
      </c>
      <c r="F2" s="132">
        <f t="shared" si="0"/>
        <v>2025</v>
      </c>
      <c r="G2" s="132">
        <f t="shared" si="0"/>
        <v>2026</v>
      </c>
      <c r="H2" s="132">
        <f t="shared" si="0"/>
        <v>2027</v>
      </c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25">
      <c r="A3" s="10" t="s">
        <v>214</v>
      </c>
      <c r="B3" s="12" t="s">
        <v>47</v>
      </c>
      <c r="C3" s="143">
        <v>320</v>
      </c>
      <c r="D3" s="4">
        <f>C3*(1+$D$1)</f>
        <v>316.8</v>
      </c>
      <c r="E3" s="4">
        <f>D3*(1+$D$1)</f>
        <v>313.63200000000001</v>
      </c>
      <c r="F3" s="4">
        <f>E3*(1+$D$1)</f>
        <v>310.49567999999999</v>
      </c>
      <c r="G3" s="4">
        <f>F3*(1+$D$1)</f>
        <v>307.39072319999997</v>
      </c>
      <c r="H3" s="4">
        <f>G3*(1+$D$1)</f>
        <v>304.31681596799996</v>
      </c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25">
      <c r="A4" s="10" t="s">
        <v>215</v>
      </c>
      <c r="B4" s="157">
        <v>0.4</v>
      </c>
      <c r="C4" s="4">
        <f>C3*$B$4</f>
        <v>128</v>
      </c>
      <c r="D4" s="4">
        <f>D3*$B$4</f>
        <v>126.72000000000001</v>
      </c>
      <c r="E4" s="4">
        <f>E3*$B$4</f>
        <v>125.45280000000001</v>
      </c>
      <c r="F4" s="4">
        <f>F3*$B$4</f>
        <v>124.198272</v>
      </c>
      <c r="G4" s="4">
        <f>G3*$B$4</f>
        <v>122.95628927999999</v>
      </c>
      <c r="H4" s="4">
        <f>H3*$B$4</f>
        <v>121.72672638719999</v>
      </c>
      <c r="I4" s="13"/>
      <c r="J4" s="13"/>
      <c r="K4" s="13"/>
      <c r="L4" s="13"/>
      <c r="M4" s="13"/>
      <c r="N4" s="13"/>
      <c r="O4" s="13"/>
      <c r="P4" s="13"/>
      <c r="Q4" s="13"/>
    </row>
    <row r="5" spans="1:17" x14ac:dyDescent="0.25">
      <c r="A5" s="10" t="s">
        <v>216</v>
      </c>
      <c r="B5" s="83"/>
      <c r="C5" s="97">
        <f>StuFlow!P18</f>
        <v>1124.0895979528175</v>
      </c>
      <c r="D5" s="97">
        <f>StuFlow!P46</f>
        <v>970.99459795281757</v>
      </c>
      <c r="E5" s="97">
        <f>StuFlow!P74</f>
        <v>879.16263345281777</v>
      </c>
      <c r="F5" s="97">
        <f>StuFlow!P102</f>
        <v>711.33328451688772</v>
      </c>
      <c r="G5" s="97">
        <f>StuFlow!P130</f>
        <v>707.05848684494333</v>
      </c>
      <c r="H5" s="97">
        <f>StuFlow!P158</f>
        <v>687.67856315191261</v>
      </c>
      <c r="I5" s="13"/>
      <c r="J5" s="13"/>
      <c r="K5" s="13"/>
      <c r="L5" s="13"/>
      <c r="M5" s="13"/>
      <c r="N5" s="13"/>
      <c r="O5" s="13"/>
      <c r="P5" s="13"/>
      <c r="Q5" s="13"/>
    </row>
    <row r="6" spans="1:17" x14ac:dyDescent="0.25">
      <c r="A6" s="10" t="s">
        <v>217</v>
      </c>
      <c r="B6" s="83"/>
      <c r="C6" s="97">
        <f>StuFlow!P32</f>
        <v>1116.0895979528177</v>
      </c>
      <c r="D6" s="97">
        <f>StuFlow!P60</f>
        <v>999.00899795281782</v>
      </c>
      <c r="E6" s="97">
        <f>StuFlow!P88</f>
        <v>922.22134203281769</v>
      </c>
      <c r="F6" s="97">
        <f>StuFlow!P116</f>
        <v>794.61971316777488</v>
      </c>
      <c r="G6" s="97">
        <f>StuFlow!P144</f>
        <v>775.99080558695118</v>
      </c>
      <c r="H6" s="97">
        <f>StuFlow!P172</f>
        <v>711.1345290832711</v>
      </c>
      <c r="I6" s="13"/>
      <c r="J6" s="13"/>
      <c r="K6" s="13"/>
      <c r="L6" s="13"/>
      <c r="M6" s="13"/>
      <c r="N6" s="13"/>
      <c r="O6" s="13"/>
      <c r="P6" s="13"/>
      <c r="Q6" s="13"/>
    </row>
    <row r="7" spans="1:17" x14ac:dyDescent="0.25">
      <c r="A7" s="10" t="s">
        <v>218</v>
      </c>
      <c r="B7" s="178">
        <f>B4</f>
        <v>0.4</v>
      </c>
      <c r="C7" s="2">
        <v>70</v>
      </c>
      <c r="D7" s="4">
        <f>C7*(1+$D$1)</f>
        <v>69.3</v>
      </c>
      <c r="E7" s="4">
        <f>D7*(1+$D$1)</f>
        <v>68.606999999999999</v>
      </c>
      <c r="F7" s="4">
        <f>E7*(1+$D$1)</f>
        <v>67.920929999999998</v>
      </c>
      <c r="G7" s="4">
        <f>F7*(1+$D$1)</f>
        <v>67.241720700000002</v>
      </c>
      <c r="H7" s="4">
        <f>G7*(1+$D$1)</f>
        <v>66.569303493000007</v>
      </c>
      <c r="I7" s="13"/>
      <c r="J7" s="13"/>
      <c r="K7" s="13"/>
      <c r="L7" s="13"/>
      <c r="M7" s="13"/>
      <c r="N7" s="13"/>
      <c r="O7" s="13"/>
      <c r="P7" s="13"/>
      <c r="Q7" s="13"/>
    </row>
    <row r="8" spans="1:17" x14ac:dyDescent="0.25">
      <c r="A8" s="10" t="s">
        <v>219</v>
      </c>
      <c r="B8" s="83"/>
      <c r="C8" s="4">
        <f>C7*$B$4</f>
        <v>28</v>
      </c>
      <c r="D8" s="4">
        <f>D7*$B$4</f>
        <v>27.72</v>
      </c>
      <c r="E8" s="4">
        <f>E7*$B$4</f>
        <v>27.442800000000002</v>
      </c>
      <c r="F8" s="4">
        <f>F7*$B$4</f>
        <v>27.168372000000002</v>
      </c>
      <c r="G8" s="4">
        <f>G7*$B$4</f>
        <v>26.896688280000003</v>
      </c>
      <c r="H8" s="4">
        <f>H7*$B$4</f>
        <v>26.627721397200006</v>
      </c>
      <c r="I8" s="13"/>
      <c r="J8" s="13"/>
      <c r="K8" s="13"/>
      <c r="L8" s="13"/>
      <c r="M8" s="13"/>
      <c r="N8" s="13"/>
      <c r="O8" s="13"/>
      <c r="P8" s="13"/>
      <c r="Q8" s="13"/>
    </row>
    <row r="9" spans="1:17" x14ac:dyDescent="0.25">
      <c r="A9" s="10" t="s">
        <v>220</v>
      </c>
      <c r="B9" s="83"/>
      <c r="C9" s="97">
        <f>StuFlow!Q18</f>
        <v>1537.5488423853401</v>
      </c>
      <c r="D9" s="97">
        <f>StuFlow!Q46</f>
        <v>1449.29384238534</v>
      </c>
      <c r="E9" s="97">
        <f>StuFlow!Q74</f>
        <v>1345.9208593853405</v>
      </c>
      <c r="F9" s="97">
        <f>StuFlow!Q102</f>
        <v>1250.7441903586002</v>
      </c>
      <c r="G9" s="97">
        <f>StuFlow!Q130</f>
        <v>1135.6985500292947</v>
      </c>
      <c r="H9" s="97">
        <f>StuFlow!Q158</f>
        <v>861.62441650443407</v>
      </c>
      <c r="I9" s="13"/>
      <c r="J9" s="13"/>
      <c r="K9" s="13"/>
      <c r="L9" s="13"/>
      <c r="M9" s="13"/>
      <c r="N9" s="13"/>
      <c r="O9" s="13"/>
      <c r="P9" s="13"/>
      <c r="Q9" s="13"/>
    </row>
    <row r="10" spans="1:17" x14ac:dyDescent="0.25">
      <c r="A10" s="10" t="s">
        <v>221</v>
      </c>
      <c r="B10" s="83"/>
      <c r="C10" s="99">
        <f>StuFlow!Q32</f>
        <v>1528.0488423853401</v>
      </c>
      <c r="D10" s="99">
        <f>StuFlow!Q60</f>
        <v>1427.7759423853404</v>
      </c>
      <c r="E10" s="99">
        <f>StuFlow!Q88</f>
        <v>1324.3430456053404</v>
      </c>
      <c r="F10" s="99">
        <f>StuFlow!Q116</f>
        <v>1217.4475540034757</v>
      </c>
      <c r="G10" s="99">
        <f>StuFlow!Q144</f>
        <v>1114.1554695169534</v>
      </c>
      <c r="H10" s="99">
        <f>StuFlow!Q172</f>
        <v>724.0079067916472</v>
      </c>
      <c r="I10" s="13"/>
      <c r="J10" s="13"/>
      <c r="K10" s="13"/>
      <c r="L10" s="13"/>
      <c r="M10" s="13"/>
      <c r="N10" s="13"/>
      <c r="O10" s="13"/>
      <c r="P10" s="13"/>
      <c r="Q10" s="13"/>
    </row>
    <row r="11" spans="1:17" x14ac:dyDescent="0.25">
      <c r="A11" s="175" t="s">
        <v>222</v>
      </c>
      <c r="B11" s="83"/>
      <c r="C11" s="22">
        <f>C3+C5+C7+C9</f>
        <v>3051.6384403381576</v>
      </c>
      <c r="D11" s="22">
        <f t="shared" ref="D11:H11" si="1">D3+D5+D7+D9</f>
        <v>2806.3884403381576</v>
      </c>
      <c r="E11" s="22">
        <f t="shared" si="1"/>
        <v>2607.3224928381583</v>
      </c>
      <c r="F11" s="22">
        <f t="shared" si="1"/>
        <v>2340.4940848754877</v>
      </c>
      <c r="G11" s="22">
        <f t="shared" si="1"/>
        <v>2217.3894807742381</v>
      </c>
      <c r="H11" s="22">
        <f t="shared" si="1"/>
        <v>1920.1890991173466</v>
      </c>
      <c r="I11" s="13"/>
      <c r="J11" s="13"/>
      <c r="K11" s="13"/>
      <c r="L11" s="13"/>
      <c r="M11" s="13"/>
      <c r="N11" s="13"/>
      <c r="O11" s="13"/>
      <c r="P11" s="13"/>
      <c r="Q11" s="13"/>
    </row>
    <row r="12" spans="1:17" x14ac:dyDescent="0.25">
      <c r="A12" s="175" t="s">
        <v>223</v>
      </c>
      <c r="B12" s="83"/>
      <c r="C12" s="22">
        <f>C4+C6+C8+C10</f>
        <v>2800.138440338158</v>
      </c>
      <c r="D12" s="22">
        <f t="shared" ref="D12:H12" si="2">D4+D6+D8+D10</f>
        <v>2581.2249403381584</v>
      </c>
      <c r="E12" s="22">
        <f t="shared" si="2"/>
        <v>2399.4599876381581</v>
      </c>
      <c r="F12" s="22">
        <f t="shared" si="2"/>
        <v>2163.4339111712507</v>
      </c>
      <c r="G12" s="22">
        <f t="shared" si="2"/>
        <v>2039.9992526639046</v>
      </c>
      <c r="H12" s="22">
        <f t="shared" si="2"/>
        <v>1583.4968836593184</v>
      </c>
      <c r="I12" s="13"/>
      <c r="J12" s="13"/>
      <c r="K12" s="13"/>
      <c r="L12" s="13"/>
      <c r="M12" s="13"/>
      <c r="N12" s="13"/>
      <c r="O12" s="13"/>
      <c r="P12" s="13"/>
      <c r="Q12" s="13"/>
    </row>
    <row r="13" spans="1:17" x14ac:dyDescent="0.25">
      <c r="A13" s="2">
        <v>330</v>
      </c>
      <c r="B13" s="173" t="s">
        <v>212</v>
      </c>
      <c r="C13" s="173"/>
      <c r="D13" s="173"/>
      <c r="E13" s="173"/>
      <c r="F13" s="173"/>
      <c r="G13" s="173"/>
      <c r="H13" s="173"/>
      <c r="I13" s="173"/>
      <c r="J13" s="13"/>
      <c r="K13" s="13"/>
      <c r="L13" s="13"/>
      <c r="M13" s="13"/>
      <c r="N13" s="13"/>
      <c r="O13" s="13"/>
      <c r="P13" s="13"/>
      <c r="Q13" s="13"/>
    </row>
    <row r="14" spans="1:17" x14ac:dyDescent="0.25">
      <c r="A14" s="2">
        <v>80</v>
      </c>
      <c r="B14" s="173" t="s">
        <v>213</v>
      </c>
      <c r="C14" s="173"/>
      <c r="D14" s="173"/>
      <c r="E14" s="173"/>
      <c r="F14" s="173"/>
      <c r="G14" s="173"/>
      <c r="H14" s="173"/>
      <c r="I14" s="173"/>
      <c r="J14" s="13"/>
      <c r="K14" s="13"/>
      <c r="L14" s="13"/>
      <c r="M14" s="13"/>
      <c r="N14" s="13"/>
      <c r="O14" s="13"/>
      <c r="P14" s="13"/>
      <c r="Q14" s="13"/>
    </row>
    <row r="15" spans="1:17" x14ac:dyDescent="0.25">
      <c r="A15" s="20" t="s">
        <v>48</v>
      </c>
      <c r="B15" s="103" t="s">
        <v>50</v>
      </c>
      <c r="C15" s="23"/>
      <c r="D15" s="23"/>
      <c r="E15" s="23"/>
      <c r="F15" s="23"/>
      <c r="G15" s="23"/>
      <c r="H15" s="23"/>
      <c r="I15" s="13"/>
      <c r="J15" s="13"/>
      <c r="K15" s="13"/>
      <c r="L15" s="13"/>
      <c r="M15" s="13"/>
      <c r="N15" s="13"/>
      <c r="O15" s="13"/>
      <c r="P15" s="13"/>
      <c r="Q15" s="13"/>
    </row>
    <row r="16" spans="1:17" x14ac:dyDescent="0.25">
      <c r="A16" s="10" t="s">
        <v>214</v>
      </c>
      <c r="B16" s="2">
        <v>17</v>
      </c>
      <c r="C16" s="22">
        <f t="shared" ref="C16:H16" si="3">C3*$B16</f>
        <v>5440</v>
      </c>
      <c r="D16" s="22">
        <f t="shared" si="3"/>
        <v>5385.6</v>
      </c>
      <c r="E16" s="22">
        <f t="shared" si="3"/>
        <v>5331.7439999999997</v>
      </c>
      <c r="F16" s="22">
        <f t="shared" si="3"/>
        <v>5278.4265599999999</v>
      </c>
      <c r="G16" s="22">
        <f t="shared" si="3"/>
        <v>5225.6422943999996</v>
      </c>
      <c r="H16" s="22">
        <f t="shared" si="3"/>
        <v>5173.3858714559992</v>
      </c>
      <c r="I16" s="13"/>
      <c r="J16" s="13"/>
      <c r="K16" s="13"/>
      <c r="L16" s="13"/>
      <c r="M16" s="13"/>
      <c r="N16" s="13"/>
      <c r="O16" s="13"/>
      <c r="P16" s="13"/>
      <c r="Q16" s="13"/>
    </row>
    <row r="17" spans="1:17" x14ac:dyDescent="0.25">
      <c r="A17" s="10" t="s">
        <v>215</v>
      </c>
      <c r="B17" s="83"/>
      <c r="C17" s="22">
        <f t="shared" ref="C17:H17" si="4">C4*$B16</f>
        <v>2176</v>
      </c>
      <c r="D17" s="22">
        <f t="shared" si="4"/>
        <v>2154.2400000000002</v>
      </c>
      <c r="E17" s="22">
        <f t="shared" si="4"/>
        <v>2132.6976</v>
      </c>
      <c r="F17" s="22">
        <f t="shared" si="4"/>
        <v>2111.3706240000001</v>
      </c>
      <c r="G17" s="22">
        <f t="shared" si="4"/>
        <v>2090.2569177599999</v>
      </c>
      <c r="H17" s="22">
        <f t="shared" si="4"/>
        <v>2069.3543485823998</v>
      </c>
      <c r="I17" s="13"/>
      <c r="J17" s="13"/>
      <c r="K17" s="13"/>
      <c r="L17" s="13"/>
      <c r="M17" s="13"/>
      <c r="N17" s="13"/>
      <c r="O17" s="13"/>
      <c r="P17" s="13"/>
      <c r="Q17" s="13"/>
    </row>
    <row r="18" spans="1:17" x14ac:dyDescent="0.25">
      <c r="A18" s="10" t="s">
        <v>216</v>
      </c>
      <c r="B18" s="2">
        <v>14</v>
      </c>
      <c r="C18" s="22">
        <f t="shared" ref="C18:H18" si="5">C5*$B18</f>
        <v>15737.254371339444</v>
      </c>
      <c r="D18" s="22">
        <f t="shared" si="5"/>
        <v>13593.924371339446</v>
      </c>
      <c r="E18" s="22">
        <f t="shared" si="5"/>
        <v>12308.27686833945</v>
      </c>
      <c r="F18" s="22">
        <f t="shared" si="5"/>
        <v>9958.6659832364276</v>
      </c>
      <c r="G18" s="22">
        <f t="shared" si="5"/>
        <v>9898.8188158292069</v>
      </c>
      <c r="H18" s="22">
        <f t="shared" si="5"/>
        <v>9627.499884126777</v>
      </c>
      <c r="I18" s="13"/>
      <c r="J18" s="13"/>
      <c r="K18" s="13"/>
      <c r="L18" s="13"/>
      <c r="M18" s="13"/>
      <c r="N18" s="13"/>
      <c r="O18" s="13"/>
      <c r="P18" s="13"/>
      <c r="Q18" s="13"/>
    </row>
    <row r="19" spans="1:17" x14ac:dyDescent="0.25">
      <c r="A19" s="10" t="s">
        <v>217</v>
      </c>
      <c r="B19" s="83"/>
      <c r="C19" s="22">
        <f t="shared" ref="C19:H19" si="6">C6*$B18</f>
        <v>15625.254371339448</v>
      </c>
      <c r="D19" s="22">
        <f t="shared" si="6"/>
        <v>13986.12597133945</v>
      </c>
      <c r="E19" s="22">
        <f t="shared" si="6"/>
        <v>12911.098788459447</v>
      </c>
      <c r="F19" s="22">
        <f t="shared" si="6"/>
        <v>11124.675984348849</v>
      </c>
      <c r="G19" s="22">
        <f t="shared" si="6"/>
        <v>10863.871278217317</v>
      </c>
      <c r="H19" s="22">
        <f t="shared" si="6"/>
        <v>9955.8834071657948</v>
      </c>
      <c r="I19" s="13"/>
      <c r="J19" s="13"/>
      <c r="K19" s="13"/>
      <c r="L19" s="13"/>
      <c r="M19" s="13"/>
      <c r="N19" s="13"/>
      <c r="O19" s="13"/>
      <c r="P19" s="13"/>
      <c r="Q19" s="13"/>
    </row>
    <row r="20" spans="1:17" x14ac:dyDescent="0.25">
      <c r="A20" s="10" t="s">
        <v>218</v>
      </c>
      <c r="B20" s="2">
        <v>7</v>
      </c>
      <c r="C20" s="22">
        <f t="shared" ref="C20:H20" si="7">C7*$B20</f>
        <v>490</v>
      </c>
      <c r="D20" s="22">
        <f t="shared" si="7"/>
        <v>485.09999999999997</v>
      </c>
      <c r="E20" s="22">
        <f t="shared" si="7"/>
        <v>480.24900000000002</v>
      </c>
      <c r="F20" s="22">
        <f t="shared" si="7"/>
        <v>475.44650999999999</v>
      </c>
      <c r="G20" s="22">
        <f t="shared" si="7"/>
        <v>470.69204490000004</v>
      </c>
      <c r="H20" s="22">
        <f t="shared" si="7"/>
        <v>465.98512445100005</v>
      </c>
      <c r="I20" s="13"/>
      <c r="J20" s="13"/>
      <c r="K20" s="13"/>
      <c r="L20" s="13"/>
      <c r="M20" s="13"/>
      <c r="N20" s="13"/>
      <c r="O20" s="13"/>
      <c r="P20" s="13"/>
      <c r="Q20" s="13"/>
    </row>
    <row r="21" spans="1:17" x14ac:dyDescent="0.25">
      <c r="A21" s="10" t="s">
        <v>219</v>
      </c>
      <c r="B21" s="83"/>
      <c r="C21" s="22">
        <f t="shared" ref="C21:H21" si="8">C8*$B20</f>
        <v>196</v>
      </c>
      <c r="D21" s="22">
        <f t="shared" si="8"/>
        <v>194.04</v>
      </c>
      <c r="E21" s="22">
        <f t="shared" si="8"/>
        <v>192.09960000000001</v>
      </c>
      <c r="F21" s="22">
        <f t="shared" si="8"/>
        <v>190.17860400000001</v>
      </c>
      <c r="G21" s="22">
        <f t="shared" si="8"/>
        <v>188.27681796000002</v>
      </c>
      <c r="H21" s="22">
        <f t="shared" si="8"/>
        <v>186.39404978040005</v>
      </c>
      <c r="I21" s="13"/>
      <c r="J21" s="13"/>
      <c r="K21" s="13"/>
      <c r="L21" s="13"/>
      <c r="M21" s="13"/>
      <c r="N21" s="13"/>
      <c r="O21" s="13"/>
      <c r="P21" s="13"/>
      <c r="Q21" s="13"/>
    </row>
    <row r="22" spans="1:17" x14ac:dyDescent="0.25">
      <c r="A22" s="10" t="s">
        <v>220</v>
      </c>
      <c r="B22" s="2">
        <v>4</v>
      </c>
      <c r="C22" s="22">
        <f t="shared" ref="C22:H22" si="9">C9*$B22</f>
        <v>6150.1953695413604</v>
      </c>
      <c r="D22" s="22">
        <f t="shared" si="9"/>
        <v>5797.1753695413599</v>
      </c>
      <c r="E22" s="22">
        <f t="shared" si="9"/>
        <v>5383.6834375413619</v>
      </c>
      <c r="F22" s="22">
        <f t="shared" si="9"/>
        <v>5002.9767614344009</v>
      </c>
      <c r="G22" s="22">
        <f t="shared" si="9"/>
        <v>4542.7942001171787</v>
      </c>
      <c r="H22" s="22">
        <f t="shared" si="9"/>
        <v>3446.4976660177363</v>
      </c>
      <c r="I22" s="13"/>
      <c r="J22" s="13"/>
      <c r="K22" s="13"/>
      <c r="L22" s="13"/>
      <c r="M22" s="13"/>
      <c r="N22" s="13"/>
      <c r="O22" s="13"/>
      <c r="P22" s="13"/>
      <c r="Q22" s="13"/>
    </row>
    <row r="23" spans="1:17" x14ac:dyDescent="0.25">
      <c r="A23" s="10" t="s">
        <v>221</v>
      </c>
      <c r="B23" s="83"/>
      <c r="C23" s="5">
        <f t="shared" ref="C23:H23" si="10">C10*$B22</f>
        <v>6112.1953695413604</v>
      </c>
      <c r="D23" s="5">
        <f t="shared" si="10"/>
        <v>5711.1037695413615</v>
      </c>
      <c r="E23" s="5">
        <f t="shared" si="10"/>
        <v>5297.3721824213617</v>
      </c>
      <c r="F23" s="5">
        <f t="shared" si="10"/>
        <v>4869.7902160139029</v>
      </c>
      <c r="G23" s="5">
        <f t="shared" si="10"/>
        <v>4456.6218780678137</v>
      </c>
      <c r="H23" s="5">
        <f t="shared" si="10"/>
        <v>2896.0316271665888</v>
      </c>
      <c r="I23" s="13"/>
      <c r="J23" s="13"/>
      <c r="K23" s="13"/>
      <c r="L23" s="13"/>
      <c r="M23" s="13"/>
      <c r="N23" s="13"/>
      <c r="O23" s="13"/>
      <c r="P23" s="13"/>
      <c r="Q23" s="13"/>
    </row>
    <row r="24" spans="1:17" x14ac:dyDescent="0.25">
      <c r="A24" s="175" t="s">
        <v>224</v>
      </c>
      <c r="B24" s="83"/>
      <c r="C24" s="22">
        <f>C16+C18+C20+C22</f>
        <v>27817.449740880806</v>
      </c>
      <c r="D24" s="22">
        <f t="shared" ref="D24:H24" si="11">D16+D18+D20+D22</f>
        <v>25261.799740880804</v>
      </c>
      <c r="E24" s="22">
        <f t="shared" si="11"/>
        <v>23503.953305880808</v>
      </c>
      <c r="F24" s="22">
        <f t="shared" si="11"/>
        <v>20715.515814670827</v>
      </c>
      <c r="G24" s="22">
        <f t="shared" si="11"/>
        <v>20137.947355246386</v>
      </c>
      <c r="H24" s="22">
        <f t="shared" si="11"/>
        <v>18713.368546051512</v>
      </c>
      <c r="I24" s="13"/>
      <c r="J24" s="13"/>
      <c r="K24" s="13"/>
      <c r="L24" s="13"/>
      <c r="M24" s="13"/>
      <c r="N24" s="13"/>
      <c r="O24" s="13"/>
      <c r="P24" s="13"/>
      <c r="Q24" s="13"/>
    </row>
    <row r="25" spans="1:17" x14ac:dyDescent="0.25">
      <c r="A25" s="175" t="s">
        <v>225</v>
      </c>
      <c r="B25" s="83"/>
      <c r="C25" s="22">
        <f>C17+C19+C21+C23</f>
        <v>24109.449740880809</v>
      </c>
      <c r="D25" s="22">
        <f t="shared" ref="D25:H25" si="12">D17+D19+D21+D23</f>
        <v>22045.509740880814</v>
      </c>
      <c r="E25" s="22">
        <f t="shared" si="12"/>
        <v>20533.268170880809</v>
      </c>
      <c r="F25" s="22">
        <f t="shared" si="12"/>
        <v>18296.015428362753</v>
      </c>
      <c r="G25" s="22">
        <f t="shared" si="12"/>
        <v>17599.026892005131</v>
      </c>
      <c r="H25" s="22">
        <f t="shared" si="12"/>
        <v>15107.663432695183</v>
      </c>
      <c r="I25" s="13"/>
      <c r="J25" s="13"/>
      <c r="K25" s="13"/>
      <c r="L25" s="13"/>
      <c r="M25" s="13"/>
      <c r="N25" s="13"/>
      <c r="O25" s="13"/>
      <c r="P25" s="13"/>
      <c r="Q25" s="13"/>
    </row>
    <row r="26" spans="1:17" x14ac:dyDescent="0.25">
      <c r="A26" s="176" t="s">
        <v>51</v>
      </c>
      <c r="B26" s="83"/>
      <c r="C26" s="22"/>
      <c r="D26" s="22"/>
      <c r="E26" s="22"/>
      <c r="F26" s="22"/>
      <c r="G26" s="22"/>
      <c r="H26" s="22"/>
      <c r="I26" s="13"/>
      <c r="J26" s="13"/>
      <c r="K26" s="13"/>
      <c r="L26" s="13"/>
      <c r="M26" s="13"/>
      <c r="N26" s="13"/>
      <c r="O26" s="13"/>
      <c r="P26" s="13"/>
      <c r="Q26" s="13"/>
    </row>
    <row r="27" spans="1:17" x14ac:dyDescent="0.25">
      <c r="A27" s="10" t="s">
        <v>226</v>
      </c>
      <c r="B27" s="2">
        <v>16</v>
      </c>
      <c r="C27" s="22">
        <f>C24/$B27</f>
        <v>1738.5906088050504</v>
      </c>
      <c r="D27" s="22">
        <f t="shared" ref="D27:H27" si="13">D24/$B27</f>
        <v>1578.8624838050503</v>
      </c>
      <c r="E27" s="22">
        <f t="shared" si="13"/>
        <v>1468.9970816175505</v>
      </c>
      <c r="F27" s="22">
        <f t="shared" si="13"/>
        <v>1294.7197384169267</v>
      </c>
      <c r="G27" s="22">
        <f t="shared" si="13"/>
        <v>1258.6217097028991</v>
      </c>
      <c r="H27" s="22">
        <f t="shared" si="13"/>
        <v>1169.5855341282195</v>
      </c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25">
      <c r="A28" s="177" t="s">
        <v>227</v>
      </c>
      <c r="B28" s="83"/>
      <c r="C28" s="22">
        <f t="shared" ref="C28:H28" si="14">C25/$B27</f>
        <v>1506.8406088050506</v>
      </c>
      <c r="D28" s="22">
        <f t="shared" si="14"/>
        <v>1377.8443588050509</v>
      </c>
      <c r="E28" s="22">
        <f t="shared" si="14"/>
        <v>1283.3292606800505</v>
      </c>
      <c r="F28" s="22">
        <f t="shared" si="14"/>
        <v>1143.500964272672</v>
      </c>
      <c r="G28" s="22">
        <f t="shared" si="14"/>
        <v>1099.9391807503207</v>
      </c>
      <c r="H28" s="22">
        <f t="shared" si="14"/>
        <v>944.22896454344891</v>
      </c>
      <c r="I28" s="13"/>
      <c r="J28" s="13"/>
      <c r="K28" s="13"/>
      <c r="L28" s="13"/>
      <c r="M28" s="13"/>
      <c r="N28" s="13"/>
      <c r="O28" s="13"/>
      <c r="P28" s="13"/>
      <c r="Q28" s="13"/>
    </row>
    <row r="29" spans="1:17" x14ac:dyDescent="0.25">
      <c r="A29" s="13"/>
      <c r="B29" s="16"/>
      <c r="C29" s="16"/>
      <c r="D29" s="16"/>
      <c r="E29" s="16"/>
      <c r="F29" s="16"/>
      <c r="G29" s="16"/>
      <c r="H29" s="16"/>
      <c r="I29" s="13"/>
      <c r="J29" s="13"/>
      <c r="K29" s="13"/>
      <c r="L29" s="13"/>
      <c r="M29" s="13"/>
      <c r="N29" s="13"/>
      <c r="O29" s="13"/>
      <c r="P29" s="13"/>
      <c r="Q29" s="13"/>
    </row>
    <row r="30" spans="1:17" x14ac:dyDescent="0.25">
      <c r="A30" s="9" t="s">
        <v>247</v>
      </c>
      <c r="B30" s="93" t="str">
        <f>"Annual Rate above Inflation, "&amp;TEXT(Summary!B23,"0.0%")</f>
        <v>Annual Rate above Inflation, 2.0%</v>
      </c>
      <c r="C30" s="75"/>
      <c r="D30" s="6"/>
      <c r="E30" s="6"/>
      <c r="F30" s="6"/>
      <c r="G30" s="6"/>
      <c r="H30" s="6"/>
      <c r="I30" s="13"/>
      <c r="J30" s="13"/>
      <c r="K30" s="13"/>
      <c r="L30" s="13"/>
      <c r="M30" s="13"/>
      <c r="N30" s="13"/>
      <c r="O30" s="13"/>
      <c r="P30" s="13"/>
      <c r="Q30" s="13"/>
    </row>
    <row r="31" spans="1:17" x14ac:dyDescent="0.25">
      <c r="A31" s="10" t="s">
        <v>228</v>
      </c>
      <c r="B31" s="160">
        <f>Summary!B4</f>
        <v>0.02</v>
      </c>
      <c r="C31" s="26">
        <v>10000</v>
      </c>
      <c r="D31" s="6">
        <f>C32*(1+$B31+Summary!$B$23)</f>
        <v>10400</v>
      </c>
      <c r="E31" s="6">
        <f>D32*(1+$B31+Summary!$B$23)</f>
        <v>10816</v>
      </c>
      <c r="F31" s="6">
        <f>E32*(1+$B31+Summary!$B$23)</f>
        <v>11248.640000000001</v>
      </c>
      <c r="G31" s="6">
        <f>F32*(1+$B31+Summary!$B$23)</f>
        <v>11698.585600000002</v>
      </c>
      <c r="H31" s="6">
        <f>G32*(1+$B31+Summary!$B$23)</f>
        <v>12166.529024000003</v>
      </c>
      <c r="I31" s="13"/>
      <c r="J31" s="13"/>
      <c r="K31" s="13"/>
      <c r="L31" s="13"/>
      <c r="M31" s="13"/>
      <c r="N31" s="13"/>
      <c r="O31" s="13"/>
      <c r="P31" s="13"/>
      <c r="Q31" s="13"/>
    </row>
    <row r="32" spans="1:17" x14ac:dyDescent="0.25">
      <c r="A32" s="10" t="s">
        <v>229</v>
      </c>
      <c r="B32" s="83"/>
      <c r="C32" s="6">
        <f t="shared" ref="C32:H32" si="15">C31</f>
        <v>10000</v>
      </c>
      <c r="D32" s="6">
        <f t="shared" si="15"/>
        <v>10400</v>
      </c>
      <c r="E32" s="6">
        <f t="shared" si="15"/>
        <v>10816</v>
      </c>
      <c r="F32" s="6">
        <f t="shared" si="15"/>
        <v>11248.640000000001</v>
      </c>
      <c r="G32" s="6">
        <f t="shared" si="15"/>
        <v>11698.585600000002</v>
      </c>
      <c r="H32" s="6">
        <f t="shared" si="15"/>
        <v>12166.529024000003</v>
      </c>
      <c r="I32" s="13"/>
      <c r="J32" s="13"/>
      <c r="K32" s="13"/>
      <c r="L32" s="13"/>
      <c r="M32" s="13"/>
      <c r="N32" s="13"/>
      <c r="O32" s="13"/>
      <c r="P32" s="13"/>
      <c r="Q32" s="13"/>
    </row>
    <row r="33" spans="1:17" x14ac:dyDescent="0.25">
      <c r="A33" s="10" t="s">
        <v>230</v>
      </c>
      <c r="B33" s="159">
        <f>B31</f>
        <v>0.02</v>
      </c>
      <c r="C33" s="26">
        <v>900</v>
      </c>
      <c r="D33" s="6">
        <f>C34*(1+$B33+Summary!$B$23)</f>
        <v>936</v>
      </c>
      <c r="E33" s="6">
        <f>D34*(1+$B33+Summary!$B$23)</f>
        <v>973.44</v>
      </c>
      <c r="F33" s="6">
        <f>E34*(1+$B33+Summary!$B$23)</f>
        <v>1012.3776000000001</v>
      </c>
      <c r="G33" s="6">
        <f>F34*(1+$B33+Summary!$B$23)</f>
        <v>1052.8727040000001</v>
      </c>
      <c r="H33" s="6">
        <f>G34*(1+$B33+Summary!$B$23)</f>
        <v>1094.9876121600003</v>
      </c>
      <c r="I33" s="13"/>
      <c r="J33" s="13"/>
      <c r="K33" s="13"/>
      <c r="L33" s="13"/>
      <c r="M33" s="13"/>
      <c r="N33" s="13"/>
      <c r="O33" s="13"/>
      <c r="P33" s="13"/>
      <c r="Q33" s="13"/>
    </row>
    <row r="34" spans="1:17" x14ac:dyDescent="0.25">
      <c r="A34" s="10" t="s">
        <v>231</v>
      </c>
      <c r="B34" s="83"/>
      <c r="C34" s="18">
        <f t="shared" ref="C34:H34" si="16">C33</f>
        <v>900</v>
      </c>
      <c r="D34" s="18">
        <f t="shared" si="16"/>
        <v>936</v>
      </c>
      <c r="E34" s="18">
        <f t="shared" si="16"/>
        <v>973.44</v>
      </c>
      <c r="F34" s="18">
        <f t="shared" si="16"/>
        <v>1012.3776000000001</v>
      </c>
      <c r="G34" s="18">
        <f t="shared" si="16"/>
        <v>1052.8727040000001</v>
      </c>
      <c r="H34" s="18">
        <f t="shared" si="16"/>
        <v>1094.9876121600003</v>
      </c>
      <c r="I34" s="13"/>
      <c r="J34" s="13"/>
      <c r="K34" s="13"/>
      <c r="L34" s="13"/>
      <c r="M34" s="13"/>
      <c r="N34" s="13"/>
      <c r="O34" s="13"/>
      <c r="P34" s="13"/>
      <c r="Q34" s="13"/>
    </row>
    <row r="35" spans="1:17" s="30" customFormat="1" x14ac:dyDescent="0.25">
      <c r="A35" s="16"/>
      <c r="B35" s="28"/>
      <c r="C35" s="25"/>
      <c r="D35" s="25"/>
      <c r="E35" s="25"/>
      <c r="F35" s="25"/>
      <c r="G35" s="25"/>
      <c r="H35" s="25"/>
      <c r="I35" s="29"/>
      <c r="J35" s="29"/>
      <c r="K35" s="13"/>
      <c r="L35" s="13"/>
      <c r="M35" s="13"/>
      <c r="N35" s="13"/>
      <c r="O35" s="13"/>
      <c r="P35" s="13"/>
      <c r="Q35" s="13"/>
    </row>
    <row r="36" spans="1:17" x14ac:dyDescent="0.25">
      <c r="A36" s="9" t="s">
        <v>52</v>
      </c>
      <c r="B36" s="11" t="s">
        <v>246</v>
      </c>
      <c r="C36" s="179">
        <f>C2</f>
        <v>2022</v>
      </c>
      <c r="D36" s="179">
        <f t="shared" ref="D36:H36" si="17">D2</f>
        <v>2023</v>
      </c>
      <c r="E36" s="179">
        <f t="shared" si="17"/>
        <v>2024</v>
      </c>
      <c r="F36" s="179">
        <f t="shared" si="17"/>
        <v>2025</v>
      </c>
      <c r="G36" s="179">
        <f t="shared" si="17"/>
        <v>2026</v>
      </c>
      <c r="H36" s="179">
        <f t="shared" si="17"/>
        <v>2027</v>
      </c>
      <c r="I36" s="13"/>
      <c r="J36" s="13"/>
      <c r="K36" s="13"/>
      <c r="L36" s="13"/>
      <c r="M36" s="13"/>
      <c r="N36" s="13"/>
      <c r="O36" s="13"/>
      <c r="P36" s="13"/>
      <c r="Q36" s="13"/>
    </row>
    <row r="37" spans="1:17" x14ac:dyDescent="0.25">
      <c r="A37" s="10" t="s">
        <v>232</v>
      </c>
      <c r="B37" s="16"/>
      <c r="C37" s="6">
        <f t="shared" ref="C37:H37" si="18">C31*(C3+C5)</f>
        <v>14440895.979528176</v>
      </c>
      <c r="D37" s="6">
        <f t="shared" si="18"/>
        <v>13393063.818709303</v>
      </c>
      <c r="E37" s="6">
        <f t="shared" si="18"/>
        <v>12901266.755425679</v>
      </c>
      <c r="F37" s="6">
        <f t="shared" si="18"/>
        <v>11494186.163423246</v>
      </c>
      <c r="G37" s="6">
        <f t="shared" si="18"/>
        <v>11867620.920563152</v>
      </c>
      <c r="H37" s="6">
        <f t="shared" si="18"/>
        <v>12069140.571736302</v>
      </c>
      <c r="I37" s="13"/>
      <c r="J37" s="13"/>
      <c r="K37" s="13"/>
      <c r="L37" s="13"/>
      <c r="M37" s="13"/>
      <c r="N37" s="13"/>
      <c r="O37" s="13"/>
      <c r="P37" s="13"/>
      <c r="Q37" s="13"/>
    </row>
    <row r="38" spans="1:17" x14ac:dyDescent="0.25">
      <c r="A38" s="10" t="s">
        <v>233</v>
      </c>
      <c r="B38" s="16"/>
      <c r="C38" s="6">
        <f t="shared" ref="C38:H38" si="19">C32*(C4+C6)</f>
        <v>12440895.979528178</v>
      </c>
      <c r="D38" s="6">
        <f t="shared" si="19"/>
        <v>11707581.578709304</v>
      </c>
      <c r="E38" s="6">
        <f t="shared" si="19"/>
        <v>11331643.520226955</v>
      </c>
      <c r="F38" s="6">
        <f t="shared" si="19"/>
        <v>10335452.74067764</v>
      </c>
      <c r="G38" s="6">
        <f t="shared" si="19"/>
        <v>10516409.539172351</v>
      </c>
      <c r="H38" s="6">
        <f t="shared" si="19"/>
        <v>10133030.637646567</v>
      </c>
      <c r="I38" s="13"/>
      <c r="J38" s="13"/>
      <c r="K38" s="13"/>
      <c r="L38" s="13"/>
      <c r="M38" s="13"/>
      <c r="N38" s="13"/>
      <c r="O38" s="13"/>
      <c r="P38" s="13"/>
      <c r="Q38" s="13"/>
    </row>
    <row r="39" spans="1:17" x14ac:dyDescent="0.25">
      <c r="A39" s="10" t="s">
        <v>234</v>
      </c>
      <c r="B39" s="16"/>
      <c r="C39" s="18">
        <f>C33*(C20+C22)</f>
        <v>5976175.8325872244</v>
      </c>
      <c r="D39" s="18">
        <f t="shared" ref="D39:H39" si="20">D33*(D20+D22)</f>
        <v>5880209.7458907133</v>
      </c>
      <c r="E39" s="18">
        <f t="shared" si="20"/>
        <v>5708186.3920002636</v>
      </c>
      <c r="F39" s="18">
        <f t="shared" si="20"/>
        <v>5546233.0033189077</v>
      </c>
      <c r="G39" s="18">
        <f t="shared" si="20"/>
        <v>5278562.8192580435</v>
      </c>
      <c r="H39" s="18">
        <f t="shared" si="20"/>
        <v>4284120.1883524563</v>
      </c>
      <c r="I39" s="13"/>
      <c r="J39" s="13"/>
      <c r="K39" s="13"/>
      <c r="L39" s="13"/>
      <c r="M39" s="13"/>
      <c r="N39" s="13"/>
      <c r="O39" s="13"/>
      <c r="P39" s="13"/>
      <c r="Q39" s="13"/>
    </row>
    <row r="40" spans="1:17" x14ac:dyDescent="0.25">
      <c r="A40" s="10" t="s">
        <v>235</v>
      </c>
      <c r="B40" s="16"/>
      <c r="C40" s="19">
        <f>C34*(C21+C23)</f>
        <v>5677375.8325872244</v>
      </c>
      <c r="D40" s="19">
        <f>D34*(D21+D23)</f>
        <v>5527214.5682907142</v>
      </c>
      <c r="E40" s="19">
        <f>E34*(E21+E23)</f>
        <v>5343671.411880251</v>
      </c>
      <c r="F40" s="19">
        <f>F34*(F21+F23)</f>
        <v>5122599.0900805071</v>
      </c>
      <c r="G40" s="19">
        <f>G34*(G21+G23)</f>
        <v>4890487.0498928782</v>
      </c>
      <c r="H40" s="19">
        <f>H34*(H21+H23)</f>
        <v>3375217.9316608557</v>
      </c>
      <c r="I40" s="13"/>
      <c r="J40" s="13"/>
      <c r="K40" s="13"/>
      <c r="L40" s="13"/>
      <c r="M40" s="13"/>
      <c r="N40" s="13"/>
      <c r="O40" s="13"/>
      <c r="P40" s="13"/>
      <c r="Q40" s="13"/>
    </row>
    <row r="41" spans="1:17" x14ac:dyDescent="0.25">
      <c r="A41" s="10" t="s">
        <v>224</v>
      </c>
      <c r="B41" s="16"/>
      <c r="C41" s="6">
        <f>C37+C39</f>
        <v>20417071.812115401</v>
      </c>
      <c r="D41" s="6">
        <f t="shared" ref="D41:H41" si="21">D37+D39</f>
        <v>19273273.564600017</v>
      </c>
      <c r="E41" s="6">
        <f t="shared" si="21"/>
        <v>18609453.147425942</v>
      </c>
      <c r="F41" s="6">
        <f t="shared" si="21"/>
        <v>17040419.166742153</v>
      </c>
      <c r="G41" s="6">
        <f t="shared" si="21"/>
        <v>17146183.739821196</v>
      </c>
      <c r="H41" s="6">
        <f t="shared" si="21"/>
        <v>16353260.760088759</v>
      </c>
      <c r="I41" s="13"/>
      <c r="J41" s="13"/>
      <c r="K41" s="13"/>
      <c r="L41" s="13"/>
      <c r="M41" s="13"/>
      <c r="N41" s="13"/>
      <c r="O41" s="13"/>
      <c r="P41" s="13"/>
      <c r="Q41" s="13"/>
    </row>
    <row r="42" spans="1:17" x14ac:dyDescent="0.25">
      <c r="A42" s="10" t="s">
        <v>225</v>
      </c>
      <c r="B42" s="16"/>
      <c r="C42" s="6">
        <f>C38+C40</f>
        <v>18118271.812115401</v>
      </c>
      <c r="D42" s="6">
        <f t="shared" ref="D42:H42" si="22">D38+D40</f>
        <v>17234796.147000019</v>
      </c>
      <c r="E42" s="6">
        <f t="shared" si="22"/>
        <v>16675314.932107206</v>
      </c>
      <c r="F42" s="6">
        <f t="shared" si="22"/>
        <v>15458051.830758147</v>
      </c>
      <c r="G42" s="6">
        <f t="shared" si="22"/>
        <v>15406896.58906523</v>
      </c>
      <c r="H42" s="6">
        <f t="shared" si="22"/>
        <v>13508248.569307422</v>
      </c>
      <c r="I42" s="13"/>
      <c r="J42" s="13"/>
      <c r="K42" s="13"/>
      <c r="L42" s="13"/>
      <c r="M42" s="13"/>
      <c r="N42" s="13"/>
      <c r="O42" s="13"/>
      <c r="P42" s="13"/>
      <c r="Q42" s="13"/>
    </row>
    <row r="43" spans="1:17" x14ac:dyDescent="0.25">
      <c r="A43" s="16"/>
      <c r="B43" s="16"/>
      <c r="C43" s="16"/>
      <c r="D43" s="16"/>
      <c r="E43" s="16"/>
      <c r="F43" s="16"/>
      <c r="G43" s="16"/>
      <c r="H43" s="16"/>
      <c r="I43" s="13"/>
      <c r="J43" s="13"/>
      <c r="K43" s="13"/>
      <c r="L43" s="13"/>
      <c r="M43" s="13"/>
      <c r="N43" s="13"/>
      <c r="O43" s="13"/>
      <c r="P43" s="13"/>
      <c r="Q43" s="13"/>
    </row>
    <row r="44" spans="1:17" x14ac:dyDescent="0.25">
      <c r="A44" s="9" t="s">
        <v>54</v>
      </c>
      <c r="B44" s="20" t="s">
        <v>56</v>
      </c>
      <c r="C44" s="8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x14ac:dyDescent="0.25">
      <c r="A45" s="10" t="s">
        <v>236</v>
      </c>
      <c r="B45" s="156">
        <f>Summary!B5</f>
        <v>0.05</v>
      </c>
      <c r="C45" s="31">
        <v>0.6</v>
      </c>
      <c r="D45" s="32">
        <f>C46*(1+$B45)</f>
        <v>0.63</v>
      </c>
      <c r="E45" s="32">
        <f>D46*(1+$B45)</f>
        <v>0.66150000000000009</v>
      </c>
      <c r="F45" s="32">
        <f>E46*(1+$B45)</f>
        <v>0.69457500000000016</v>
      </c>
      <c r="G45" s="32">
        <f>F46*(1+$B45)</f>
        <v>0.72930375000000025</v>
      </c>
      <c r="H45" s="32">
        <f>G46*(1+$B45)</f>
        <v>0.7657689375000003</v>
      </c>
      <c r="I45" s="13"/>
      <c r="J45" s="13"/>
      <c r="K45" s="13"/>
      <c r="L45" s="13"/>
      <c r="M45" s="13"/>
      <c r="N45" s="13"/>
      <c r="O45" s="13"/>
      <c r="P45" s="13"/>
      <c r="Q45" s="13"/>
    </row>
    <row r="46" spans="1:17" x14ac:dyDescent="0.25">
      <c r="A46" s="10" t="s">
        <v>237</v>
      </c>
      <c r="B46" s="83"/>
      <c r="C46" s="32">
        <f t="shared" ref="C46:H46" si="23">C45</f>
        <v>0.6</v>
      </c>
      <c r="D46" s="32">
        <f t="shared" si="23"/>
        <v>0.63</v>
      </c>
      <c r="E46" s="32">
        <f t="shared" si="23"/>
        <v>0.66150000000000009</v>
      </c>
      <c r="F46" s="32">
        <f t="shared" si="23"/>
        <v>0.69457500000000016</v>
      </c>
      <c r="G46" s="32">
        <f t="shared" si="23"/>
        <v>0.72930375000000025</v>
      </c>
      <c r="H46" s="32">
        <f t="shared" si="23"/>
        <v>0.7657689375000003</v>
      </c>
      <c r="I46" s="13"/>
      <c r="J46" s="13"/>
      <c r="K46" s="13"/>
      <c r="L46" s="13"/>
      <c r="M46" s="13"/>
      <c r="N46" s="13"/>
      <c r="O46" s="13"/>
      <c r="P46" s="13"/>
      <c r="Q46" s="13"/>
    </row>
    <row r="47" spans="1:17" x14ac:dyDescent="0.25">
      <c r="A47" s="10" t="s">
        <v>238</v>
      </c>
      <c r="B47" s="33">
        <f>B45</f>
        <v>0.05</v>
      </c>
      <c r="C47" s="31">
        <v>0.3</v>
      </c>
      <c r="D47" s="32">
        <f>C48*(1+$B47)</f>
        <v>0.315</v>
      </c>
      <c r="E47" s="32">
        <f>D48*(1+$B47)</f>
        <v>0.33075000000000004</v>
      </c>
      <c r="F47" s="32">
        <f>E48*(1+$B47)</f>
        <v>0.34728750000000008</v>
      </c>
      <c r="G47" s="32">
        <f>F48*(1+$B47)</f>
        <v>0.36465187500000013</v>
      </c>
      <c r="H47" s="32">
        <f>G48*(1+$B47)</f>
        <v>0.38288446875000015</v>
      </c>
      <c r="I47" s="13"/>
      <c r="J47" s="13"/>
      <c r="K47" s="13"/>
      <c r="L47" s="13"/>
      <c r="M47" s="13"/>
      <c r="N47" s="13"/>
      <c r="O47" s="13"/>
      <c r="P47" s="13"/>
      <c r="Q47" s="13"/>
    </row>
    <row r="48" spans="1:17" x14ac:dyDescent="0.25">
      <c r="A48" s="10" t="s">
        <v>239</v>
      </c>
      <c r="B48" s="13"/>
      <c r="C48" s="32">
        <f t="shared" ref="C48:H48" si="24">C47</f>
        <v>0.3</v>
      </c>
      <c r="D48" s="32">
        <f t="shared" si="24"/>
        <v>0.315</v>
      </c>
      <c r="E48" s="32">
        <f t="shared" si="24"/>
        <v>0.33075000000000004</v>
      </c>
      <c r="F48" s="32">
        <f t="shared" si="24"/>
        <v>0.34728750000000008</v>
      </c>
      <c r="G48" s="32">
        <f t="shared" si="24"/>
        <v>0.36465187500000013</v>
      </c>
      <c r="H48" s="32">
        <f t="shared" si="24"/>
        <v>0.38288446875000015</v>
      </c>
      <c r="I48" s="13"/>
      <c r="J48" s="13"/>
      <c r="K48" s="13"/>
      <c r="L48" s="13"/>
      <c r="M48" s="13"/>
      <c r="N48" s="13"/>
      <c r="O48" s="13"/>
      <c r="P48" s="13"/>
      <c r="Q48" s="13"/>
    </row>
    <row r="49" spans="1:17" x14ac:dyDescent="0.25">
      <c r="A49" s="9" t="s">
        <v>57</v>
      </c>
      <c r="B49" s="20" t="s">
        <v>56</v>
      </c>
      <c r="C49" s="8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x14ac:dyDescent="0.25">
      <c r="A50" s="10" t="s">
        <v>236</v>
      </c>
      <c r="B50" s="158">
        <f>Summary!B7</f>
        <v>0.05</v>
      </c>
      <c r="C50" s="155">
        <f>Summary!B6</f>
        <v>0.6</v>
      </c>
      <c r="D50" s="32">
        <f>C51*(1+$B50)</f>
        <v>0.63</v>
      </c>
      <c r="E50" s="32">
        <f>D51*(1+$B50)</f>
        <v>0.66150000000000009</v>
      </c>
      <c r="F50" s="32">
        <f>E51*(1+$B50)</f>
        <v>0.69457500000000016</v>
      </c>
      <c r="G50" s="32">
        <f>F51*(1+$B50)</f>
        <v>0.72930375000000025</v>
      </c>
      <c r="H50" s="32">
        <f>G51*(1+$B50)</f>
        <v>0.7657689375000003</v>
      </c>
      <c r="I50" s="13"/>
      <c r="J50" s="13"/>
      <c r="K50" s="13"/>
      <c r="L50" s="13"/>
      <c r="M50" s="13"/>
      <c r="N50" s="13"/>
      <c r="O50" s="13"/>
      <c r="P50" s="13"/>
      <c r="Q50" s="13"/>
    </row>
    <row r="51" spans="1:17" x14ac:dyDescent="0.25">
      <c r="A51" s="10" t="s">
        <v>237</v>
      </c>
      <c r="B51" s="83"/>
      <c r="C51" s="33">
        <f t="shared" ref="C51:H51" si="25">C50</f>
        <v>0.6</v>
      </c>
      <c r="D51" s="33">
        <f t="shared" si="25"/>
        <v>0.63</v>
      </c>
      <c r="E51" s="33">
        <f t="shared" si="25"/>
        <v>0.66150000000000009</v>
      </c>
      <c r="F51" s="33">
        <f t="shared" si="25"/>
        <v>0.69457500000000016</v>
      </c>
      <c r="G51" s="33">
        <f t="shared" si="25"/>
        <v>0.72930375000000025</v>
      </c>
      <c r="H51" s="33">
        <f t="shared" si="25"/>
        <v>0.7657689375000003</v>
      </c>
      <c r="I51" s="13"/>
      <c r="J51" s="13"/>
      <c r="K51" s="13"/>
      <c r="L51" s="13"/>
      <c r="M51" s="13"/>
      <c r="N51" s="13"/>
      <c r="O51" s="13"/>
      <c r="P51" s="13"/>
      <c r="Q51" s="13"/>
    </row>
    <row r="52" spans="1:17" x14ac:dyDescent="0.25">
      <c r="A52" s="10" t="s">
        <v>238</v>
      </c>
      <c r="B52" s="159">
        <f>B50</f>
        <v>0.05</v>
      </c>
      <c r="C52" s="33">
        <f>C50</f>
        <v>0.6</v>
      </c>
      <c r="D52" s="32">
        <f>C53*(1+$B52)</f>
        <v>0.63</v>
      </c>
      <c r="E52" s="32">
        <f>D53*(1+$B52)</f>
        <v>0.66150000000000009</v>
      </c>
      <c r="F52" s="32">
        <f>E53*(1+$B52)</f>
        <v>0.69457500000000016</v>
      </c>
      <c r="G52" s="32">
        <f>F53*(1+$B52)</f>
        <v>0.72930375000000025</v>
      </c>
      <c r="H52" s="32">
        <f>G53*(1+$B52)</f>
        <v>0.7657689375000003</v>
      </c>
      <c r="I52" s="13"/>
      <c r="J52" s="13"/>
      <c r="K52" s="13"/>
      <c r="L52" s="13"/>
      <c r="M52" s="13"/>
      <c r="N52" s="13"/>
      <c r="O52" s="13"/>
      <c r="P52" s="13"/>
      <c r="Q52" s="13"/>
    </row>
    <row r="53" spans="1:17" x14ac:dyDescent="0.25">
      <c r="A53" s="10" t="s">
        <v>239</v>
      </c>
      <c r="B53" s="13"/>
      <c r="C53" s="33">
        <f t="shared" ref="C53:H53" si="26">C52</f>
        <v>0.6</v>
      </c>
      <c r="D53" s="33">
        <f t="shared" si="26"/>
        <v>0.63</v>
      </c>
      <c r="E53" s="33">
        <f t="shared" si="26"/>
        <v>0.66150000000000009</v>
      </c>
      <c r="F53" s="33">
        <f t="shared" si="26"/>
        <v>0.69457500000000016</v>
      </c>
      <c r="G53" s="33">
        <f t="shared" si="26"/>
        <v>0.72930375000000025</v>
      </c>
      <c r="H53" s="33">
        <f t="shared" si="26"/>
        <v>0.7657689375000003</v>
      </c>
      <c r="I53" s="13"/>
      <c r="J53" s="13"/>
      <c r="K53" s="13"/>
      <c r="L53" s="13"/>
      <c r="M53" s="13"/>
      <c r="N53" s="13"/>
      <c r="O53" s="13"/>
      <c r="P53" s="13"/>
      <c r="Q53" s="13"/>
    </row>
    <row r="54" spans="1:17" x14ac:dyDescent="0.25">
      <c r="A54" s="23"/>
      <c r="B54" s="2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x14ac:dyDescent="0.25">
      <c r="A55" s="9" t="s">
        <v>59</v>
      </c>
      <c r="B55" s="11" t="s">
        <v>246</v>
      </c>
      <c r="C55" s="132">
        <f t="shared" ref="C55:H55" si="27">C2</f>
        <v>2022</v>
      </c>
      <c r="D55" s="132">
        <f t="shared" si="27"/>
        <v>2023</v>
      </c>
      <c r="E55" s="132">
        <f t="shared" si="27"/>
        <v>2024</v>
      </c>
      <c r="F55" s="132">
        <f t="shared" si="27"/>
        <v>2025</v>
      </c>
      <c r="G55" s="132">
        <f t="shared" si="27"/>
        <v>2026</v>
      </c>
      <c r="H55" s="132">
        <f t="shared" si="27"/>
        <v>2027</v>
      </c>
      <c r="I55" s="13"/>
      <c r="J55" s="13"/>
      <c r="K55" s="13"/>
      <c r="L55" s="13"/>
      <c r="M55" s="13"/>
      <c r="N55" s="13"/>
      <c r="O55" s="13"/>
      <c r="P55" s="13"/>
      <c r="Q55" s="13"/>
    </row>
    <row r="56" spans="1:17" x14ac:dyDescent="0.25">
      <c r="A56" s="10" t="s">
        <v>236</v>
      </c>
      <c r="B56" s="83"/>
      <c r="C56" s="22">
        <f t="shared" ref="C56:H56" si="28">C50*(C3+C5)*(C45*C31)</f>
        <v>5198722.5526301423</v>
      </c>
      <c r="D56" s="22">
        <f t="shared" si="28"/>
        <v>5315707.0296457224</v>
      </c>
      <c r="E56" s="22">
        <f t="shared" si="28"/>
        <v>5645365.3346893694</v>
      </c>
      <c r="F56" s="22">
        <f t="shared" si="28"/>
        <v>5545191.157248849</v>
      </c>
      <c r="G56" s="22">
        <f t="shared" si="28"/>
        <v>6312197.2082079621</v>
      </c>
      <c r="H56" s="22">
        <f t="shared" si="28"/>
        <v>7077368.9617642425</v>
      </c>
      <c r="I56" s="13"/>
      <c r="J56" s="13"/>
      <c r="K56" s="13"/>
      <c r="L56" s="13"/>
      <c r="M56" s="13"/>
      <c r="N56" s="13"/>
      <c r="O56" s="13"/>
      <c r="P56" s="13"/>
      <c r="Q56" s="13"/>
    </row>
    <row r="57" spans="1:17" x14ac:dyDescent="0.25">
      <c r="A57" s="10" t="s">
        <v>237</v>
      </c>
      <c r="B57" s="83"/>
      <c r="C57" s="22">
        <f t="shared" ref="C57:H57" si="29">C51*(C4+C6)*(C46*C32)</f>
        <v>4478722.5526301432</v>
      </c>
      <c r="D57" s="22">
        <f t="shared" si="29"/>
        <v>4646739.1285897233</v>
      </c>
      <c r="E57" s="22">
        <f t="shared" si="29"/>
        <v>4958526.0677788323</v>
      </c>
      <c r="F57" s="22">
        <f t="shared" si="29"/>
        <v>4986178.2582004154</v>
      </c>
      <c r="G57" s="22">
        <f t="shared" si="29"/>
        <v>5593509.548195553</v>
      </c>
      <c r="H57" s="22">
        <f t="shared" si="29"/>
        <v>5942030.0971081313</v>
      </c>
      <c r="I57" s="13"/>
      <c r="J57" s="13"/>
      <c r="K57" s="13"/>
      <c r="L57" s="13"/>
      <c r="M57" s="13"/>
      <c r="N57" s="13"/>
      <c r="O57" s="13"/>
      <c r="P57" s="13"/>
      <c r="Q57" s="13"/>
    </row>
    <row r="58" spans="1:17" x14ac:dyDescent="0.25">
      <c r="A58" s="10" t="s">
        <v>238</v>
      </c>
      <c r="B58" s="83"/>
      <c r="C58" s="22">
        <f t="shared" ref="C58:H58" si="30">C52*C47*C33*((C7*$B$20)+(C9*$B$22))</f>
        <v>1075711.6498657004</v>
      </c>
      <c r="D58" s="22">
        <f t="shared" si="30"/>
        <v>1166927.624072012</v>
      </c>
      <c r="E58" s="22">
        <f t="shared" si="30"/>
        <v>1248900.5224154291</v>
      </c>
      <c r="F58" s="22">
        <f t="shared" si="30"/>
        <v>1337846.8805348712</v>
      </c>
      <c r="G58" s="22">
        <f t="shared" si="30"/>
        <v>1403791.4470851619</v>
      </c>
      <c r="H58" s="22">
        <f t="shared" si="30"/>
        <v>1256108.4639496948</v>
      </c>
      <c r="I58" s="13"/>
      <c r="J58" s="13"/>
      <c r="K58" s="13"/>
      <c r="L58" s="13"/>
      <c r="M58" s="13"/>
      <c r="N58" s="13"/>
      <c r="O58" s="13"/>
      <c r="P58" s="13"/>
      <c r="Q58" s="13"/>
    </row>
    <row r="59" spans="1:17" x14ac:dyDescent="0.25">
      <c r="A59" s="10" t="s">
        <v>239</v>
      </c>
      <c r="B59" s="83"/>
      <c r="C59" s="5">
        <f t="shared" ref="C59:H59" si="31">C53*C48*C34*((C8*$B$20)+(C10*$B$22))</f>
        <v>1021927.6498657004</v>
      </c>
      <c r="D59" s="5">
        <f t="shared" si="31"/>
        <v>1096875.7310772922</v>
      </c>
      <c r="E59" s="5">
        <f t="shared" si="31"/>
        <v>1169147.8798356189</v>
      </c>
      <c r="F59" s="5">
        <f t="shared" si="31"/>
        <v>1235659.087671567</v>
      </c>
      <c r="G59" s="5">
        <f t="shared" si="31"/>
        <v>1300585.8086359471</v>
      </c>
      <c r="H59" s="5">
        <f t="shared" si="31"/>
        <v>989617.38355534349</v>
      </c>
      <c r="I59" s="13"/>
      <c r="J59" s="13"/>
      <c r="K59" s="13"/>
      <c r="L59" s="13"/>
      <c r="M59" s="13"/>
      <c r="N59" s="13"/>
      <c r="O59" s="13"/>
      <c r="P59" s="13"/>
      <c r="Q59" s="13"/>
    </row>
    <row r="60" spans="1:17" x14ac:dyDescent="0.25">
      <c r="A60" s="10" t="s">
        <v>224</v>
      </c>
      <c r="B60" s="83"/>
      <c r="C60" s="34">
        <f>C56+C58</f>
        <v>6274434.2024958432</v>
      </c>
      <c r="D60" s="34">
        <f t="shared" ref="D60:H60" si="32">D56+D58</f>
        <v>6482634.6537177339</v>
      </c>
      <c r="E60" s="34">
        <f t="shared" si="32"/>
        <v>6894265.8571047988</v>
      </c>
      <c r="F60" s="34">
        <f t="shared" si="32"/>
        <v>6883038.0377837205</v>
      </c>
      <c r="G60" s="34">
        <f t="shared" si="32"/>
        <v>7715988.6552931238</v>
      </c>
      <c r="H60" s="34">
        <f t="shared" si="32"/>
        <v>8333477.4257139377</v>
      </c>
      <c r="I60" s="13"/>
      <c r="J60" s="13"/>
      <c r="K60" s="13"/>
      <c r="L60" s="13"/>
      <c r="M60" s="13"/>
      <c r="N60" s="13"/>
      <c r="O60" s="13"/>
      <c r="P60" s="13"/>
      <c r="Q60" s="13"/>
    </row>
    <row r="61" spans="1:17" x14ac:dyDescent="0.25">
      <c r="A61" s="10" t="s">
        <v>225</v>
      </c>
      <c r="B61" s="83"/>
      <c r="C61" s="34">
        <f>C57+C59</f>
        <v>5500650.2024958432</v>
      </c>
      <c r="D61" s="34">
        <f t="shared" ref="D61:H61" si="33">D57+D59</f>
        <v>5743614.8596670153</v>
      </c>
      <c r="E61" s="34">
        <f t="shared" si="33"/>
        <v>6127673.9476144509</v>
      </c>
      <c r="F61" s="34">
        <f t="shared" si="33"/>
        <v>6221837.3458719822</v>
      </c>
      <c r="G61" s="34">
        <f t="shared" si="33"/>
        <v>6894095.3568315003</v>
      </c>
      <c r="H61" s="34">
        <f t="shared" si="33"/>
        <v>6931647.4806634746</v>
      </c>
      <c r="I61" s="13"/>
      <c r="J61" s="13"/>
      <c r="K61" s="13"/>
      <c r="L61" s="13"/>
      <c r="M61" s="13"/>
      <c r="N61" s="13"/>
      <c r="O61" s="13"/>
      <c r="P61" s="13"/>
      <c r="Q61" s="13"/>
    </row>
    <row r="62" spans="1:17" x14ac:dyDescent="0.25">
      <c r="A62" s="13"/>
      <c r="B62" s="8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x14ac:dyDescent="0.25">
      <c r="A63" s="20" t="s">
        <v>240</v>
      </c>
      <c r="B63" s="83"/>
      <c r="C63" s="4">
        <f>C41-C60</f>
        <v>14142637.609619558</v>
      </c>
      <c r="D63" s="4">
        <f t="shared" ref="D63:H63" si="34">D41-D60</f>
        <v>12790638.910882283</v>
      </c>
      <c r="E63" s="4">
        <f t="shared" si="34"/>
        <v>11715187.290321143</v>
      </c>
      <c r="F63" s="4">
        <f t="shared" si="34"/>
        <v>10157381.128958434</v>
      </c>
      <c r="G63" s="4">
        <f t="shared" si="34"/>
        <v>9430195.0845280718</v>
      </c>
      <c r="H63" s="4">
        <f t="shared" si="34"/>
        <v>8019783.3343748208</v>
      </c>
      <c r="I63" s="13"/>
      <c r="J63" s="13"/>
      <c r="K63" s="13"/>
      <c r="L63" s="13"/>
      <c r="M63" s="13"/>
      <c r="N63" s="13"/>
      <c r="O63" s="13"/>
      <c r="P63" s="13"/>
      <c r="Q63" s="13"/>
    </row>
    <row r="64" spans="1:17" x14ac:dyDescent="0.25">
      <c r="A64" s="20" t="s">
        <v>241</v>
      </c>
      <c r="B64" s="83"/>
      <c r="C64" s="4">
        <f>C42-C61</f>
        <v>12617621.609619558</v>
      </c>
      <c r="D64" s="4">
        <f>D42-D61</f>
        <v>11491181.287333004</v>
      </c>
      <c r="E64" s="4">
        <f>E42-E61</f>
        <v>10547640.984492756</v>
      </c>
      <c r="F64" s="4">
        <f>F42-F61</f>
        <v>9236214.4848861657</v>
      </c>
      <c r="G64" s="4">
        <f>G42-G61</f>
        <v>8512801.2322337292</v>
      </c>
      <c r="H64" s="4">
        <f>H42-H61</f>
        <v>6576601.0886439476</v>
      </c>
      <c r="I64" s="13"/>
      <c r="J64" s="13"/>
      <c r="K64" s="13"/>
      <c r="L64" s="13"/>
      <c r="M64" s="13"/>
      <c r="N64" s="13"/>
      <c r="O64" s="13"/>
      <c r="P64" s="13"/>
      <c r="Q64" s="13"/>
    </row>
    <row r="65" spans="1:17" x14ac:dyDescent="0.25">
      <c r="A65" s="13"/>
      <c r="B65" s="83"/>
      <c r="C65" s="62"/>
      <c r="D65" s="62"/>
      <c r="E65" s="62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17" x14ac:dyDescent="0.25">
      <c r="A66" s="9" t="s">
        <v>242</v>
      </c>
      <c r="B66" s="83"/>
      <c r="C66" s="32">
        <f>C60/C41</f>
        <v>0.3073131279664022</v>
      </c>
      <c r="D66" s="32">
        <f t="shared" ref="D66:H66" si="35">D60/D41</f>
        <v>0.33635358477060406</v>
      </c>
      <c r="E66" s="32">
        <f t="shared" si="35"/>
        <v>0.37047116873815356</v>
      </c>
      <c r="F66" s="32">
        <f t="shared" si="35"/>
        <v>0.40392422102018299</v>
      </c>
      <c r="G66" s="32">
        <f t="shared" si="35"/>
        <v>0.45001201272403885</v>
      </c>
      <c r="H66" s="32">
        <f t="shared" si="35"/>
        <v>0.50959117866281167</v>
      </c>
      <c r="I66" s="13"/>
      <c r="J66" s="13"/>
      <c r="K66" s="13"/>
      <c r="L66" s="13"/>
      <c r="M66" s="13"/>
      <c r="N66" s="13"/>
      <c r="O66" s="13"/>
      <c r="P66" s="13"/>
      <c r="Q66" s="13"/>
    </row>
    <row r="67" spans="1:17" x14ac:dyDescent="0.25">
      <c r="A67" s="9" t="s">
        <v>243</v>
      </c>
      <c r="B67" s="96"/>
      <c r="C67" s="32">
        <f>C61/C42</f>
        <v>0.30359684740007298</v>
      </c>
      <c r="D67" s="32">
        <f>D61/D42</f>
        <v>0.33325690717071693</v>
      </c>
      <c r="E67" s="32">
        <f>E61/E42</f>
        <v>0.36746975829620004</v>
      </c>
      <c r="F67" s="32">
        <f>F61/F42</f>
        <v>0.40249815526506932</v>
      </c>
      <c r="G67" s="32">
        <f>G61/G42</f>
        <v>0.44746813980204564</v>
      </c>
      <c r="H67" s="32">
        <f>H61/H42</f>
        <v>0.51314183664143698</v>
      </c>
      <c r="I67" s="13"/>
      <c r="J67" s="13"/>
      <c r="K67" s="13"/>
      <c r="L67" s="13"/>
      <c r="M67" s="13"/>
      <c r="N67" s="13"/>
      <c r="O67" s="13"/>
      <c r="P67" s="13"/>
      <c r="Q67" s="13"/>
    </row>
    <row r="68" spans="1:17" x14ac:dyDescent="0.25">
      <c r="A68" s="62"/>
      <c r="B68" s="62"/>
      <c r="C68" s="96"/>
      <c r="D68" s="96"/>
      <c r="E68" s="96"/>
      <c r="F68" s="96"/>
      <c r="G68" s="96"/>
      <c r="H68" s="96"/>
      <c r="I68" s="96"/>
      <c r="J68" s="96"/>
      <c r="K68" s="13"/>
      <c r="L68" s="13"/>
      <c r="M68" s="13"/>
      <c r="N68" s="13"/>
      <c r="O68" s="13"/>
      <c r="P68" s="13"/>
      <c r="Q68" s="13"/>
    </row>
    <row r="69" spans="1:17" x14ac:dyDescent="0.25">
      <c r="A69" s="62"/>
      <c r="B69" s="11" t="s">
        <v>246</v>
      </c>
      <c r="C69" s="146">
        <f>Summary!F3</f>
        <v>2022</v>
      </c>
      <c r="D69" s="146">
        <f>Summary!G3</f>
        <v>2023</v>
      </c>
      <c r="E69" s="146">
        <f>Summary!H3</f>
        <v>2024</v>
      </c>
      <c r="F69" s="146">
        <f>Summary!I3</f>
        <v>2025</v>
      </c>
      <c r="G69" s="146">
        <f>Summary!J3</f>
        <v>2026</v>
      </c>
      <c r="H69" s="146">
        <f>Summary!K3</f>
        <v>2027</v>
      </c>
      <c r="I69" s="13"/>
      <c r="J69" s="96"/>
      <c r="K69" s="13"/>
      <c r="L69" s="13"/>
      <c r="M69" s="13"/>
      <c r="N69" s="13"/>
      <c r="O69" s="13"/>
      <c r="P69" s="13"/>
      <c r="Q69" s="13"/>
    </row>
    <row r="70" spans="1:17" x14ac:dyDescent="0.25">
      <c r="A70" s="11" t="s">
        <v>81</v>
      </c>
      <c r="B70" s="14"/>
      <c r="C70" s="14"/>
      <c r="D70" s="144">
        <f>Summary!B10</f>
        <v>500000</v>
      </c>
      <c r="E70" s="145">
        <f>-D70</f>
        <v>-500000</v>
      </c>
      <c r="F70" s="143">
        <v>0</v>
      </c>
      <c r="G70" s="143">
        <v>0</v>
      </c>
      <c r="H70" s="143">
        <v>0</v>
      </c>
      <c r="I70" s="13"/>
      <c r="J70" s="13"/>
      <c r="K70" s="13"/>
      <c r="L70" s="13"/>
      <c r="M70" s="13"/>
      <c r="N70" s="13"/>
      <c r="O70" s="13"/>
      <c r="P70" s="13"/>
      <c r="Q70" s="13"/>
    </row>
    <row r="71" spans="1:17" x14ac:dyDescent="0.25">
      <c r="A71" s="11" t="s">
        <v>82</v>
      </c>
      <c r="B71" s="13"/>
      <c r="C71" s="13"/>
      <c r="D71" s="2">
        <v>50000</v>
      </c>
      <c r="E71" s="2">
        <v>-50000</v>
      </c>
      <c r="F71" s="2">
        <v>0</v>
      </c>
      <c r="G71" s="2">
        <v>0</v>
      </c>
      <c r="H71" s="2">
        <v>0</v>
      </c>
      <c r="I71" s="13"/>
      <c r="J71" s="13"/>
      <c r="K71" s="13"/>
      <c r="L71" s="13"/>
      <c r="M71" s="13"/>
      <c r="N71" s="13"/>
      <c r="O71" s="13"/>
      <c r="P71" s="13"/>
      <c r="Q71" s="13"/>
    </row>
    <row r="72" spans="1:17" x14ac:dyDescent="0.25">
      <c r="A72" s="13"/>
      <c r="B72" s="95" t="str">
        <f>"Annual Rate above Inflation, "&amp;TEXT(Summary!B23,"0.0%")</f>
        <v>Annual Rate above Inflation, 2.0%</v>
      </c>
      <c r="C72" s="94"/>
      <c r="D72" s="173"/>
      <c r="E72" s="83"/>
      <c r="F72" s="83"/>
      <c r="G72" s="83"/>
      <c r="H72" s="83"/>
      <c r="I72" s="13"/>
      <c r="J72" s="13"/>
      <c r="K72" s="13"/>
      <c r="L72" s="13"/>
      <c r="M72" s="13"/>
      <c r="N72" s="13"/>
      <c r="O72" s="13"/>
      <c r="P72" s="13"/>
      <c r="Q72" s="13"/>
    </row>
    <row r="73" spans="1:17" x14ac:dyDescent="0.25">
      <c r="A73" s="11" t="str">
        <f>[1]Summary!E7</f>
        <v>Gifts</v>
      </c>
      <c r="B73" s="156">
        <f>Summary!B8</f>
        <v>0</v>
      </c>
      <c r="C73" s="2">
        <v>3000000</v>
      </c>
      <c r="D73" s="6">
        <f>IF(D70&lt;0,0,D70)+(C73+IF(D70&lt;0,D70,0))*(1+$B73+Summary!$B$23)</f>
        <v>3560000</v>
      </c>
      <c r="E73" s="6">
        <f>IF(E70&lt;0,0,E70)+(D73+IF(E70&lt;0,E70,0))*(1+$B73+Summary!$B$23)</f>
        <v>3121200</v>
      </c>
      <c r="F73" s="6">
        <f>IF(F70&lt;0,0,F70)+(E73+IF(F70&lt;0,F70,0))*(1+$B73+Summary!$B$23)</f>
        <v>3183624</v>
      </c>
      <c r="G73" s="6">
        <f>IF(G70&lt;0,0,G70)+(F73+IF(G70&lt;0,G70,0))*(1+$B73+Summary!$B$23)</f>
        <v>3247296.48</v>
      </c>
      <c r="H73" s="6">
        <f>IF(H70&lt;0,0,H70)+(G73+IF(H70&lt;0,H70,0))*(1+$B73+Summary!$B$23)</f>
        <v>3312242.4095999999</v>
      </c>
      <c r="I73" s="13"/>
      <c r="J73" s="13"/>
      <c r="K73" s="13"/>
      <c r="L73" s="13"/>
      <c r="M73" s="13"/>
      <c r="N73" s="13"/>
      <c r="O73" s="13"/>
      <c r="P73" s="13"/>
      <c r="Q73" s="13"/>
    </row>
    <row r="74" spans="1:17" x14ac:dyDescent="0.25">
      <c r="A74" s="11" t="str">
        <f>[1]Summary!E9</f>
        <v>Miscellaneous</v>
      </c>
      <c r="B74" s="155">
        <f>Summary!B9</f>
        <v>0</v>
      </c>
      <c r="C74" s="2">
        <v>500000</v>
      </c>
      <c r="D74" s="18">
        <f>IF(D71&lt;0,0,D71)+(C74+IF(D71&lt;0,D71,0))*(1+$B74+Summary!$B$23)</f>
        <v>560000</v>
      </c>
      <c r="E74" s="18">
        <f>IF(E71&lt;0,0,E71)+(D74+IF(E71&lt;0,E71,0))*(1+$B74+Summary!$B$23)</f>
        <v>520200</v>
      </c>
      <c r="F74" s="18">
        <f>IF(F71&lt;0,0,F71)+(E74+IF(F71&lt;0,F71,0))*(1+$B74+Summary!$B$23)</f>
        <v>530604</v>
      </c>
      <c r="G74" s="18">
        <f>IF(G71&lt;0,0,G71)+(F74+IF(G71&lt;0,G71,0))*(1+$B74+Summary!$B$23)</f>
        <v>541216.07999999996</v>
      </c>
      <c r="H74" s="18">
        <f>IF(H71&lt;0,0,H71)+(G74+IF(H71&lt;0,H71,0))*(1+$B74+Summary!$B$23)</f>
        <v>552040.40159999998</v>
      </c>
      <c r="I74" s="13"/>
      <c r="J74" s="13"/>
      <c r="K74" s="13"/>
      <c r="L74" s="13"/>
      <c r="M74" s="13"/>
      <c r="N74" s="13"/>
      <c r="O74" s="13"/>
      <c r="P74" s="13"/>
      <c r="Q74" s="13"/>
    </row>
    <row r="75" spans="1:17" x14ac:dyDescent="0.25">
      <c r="A75" s="13"/>
      <c r="B75" s="83"/>
      <c r="C75" s="83"/>
      <c r="D75" s="83"/>
      <c r="E75" s="83"/>
      <c r="F75" s="83"/>
      <c r="G75" s="83"/>
      <c r="H75" s="83"/>
      <c r="I75" s="13"/>
      <c r="J75" s="13"/>
      <c r="K75" s="13"/>
      <c r="L75" s="13"/>
      <c r="M75" s="13"/>
      <c r="N75" s="13"/>
      <c r="O75" s="13"/>
      <c r="P75" s="13"/>
      <c r="Q75" s="13"/>
    </row>
    <row r="76" spans="1:17" x14ac:dyDescent="0.25">
      <c r="A76" s="9" t="s">
        <v>132</v>
      </c>
      <c r="B76" s="9" t="s">
        <v>244</v>
      </c>
      <c r="C76" s="102">
        <f>C11/Staffing!B35</f>
        <v>21.045782347159708</v>
      </c>
      <c r="D76" s="102">
        <f>D11/Staffing!C35</f>
        <v>18.834821747235956</v>
      </c>
      <c r="E76" s="102">
        <f>E11/Staffing!D35</f>
        <v>17.041323482602341</v>
      </c>
      <c r="F76" s="102">
        <f>F11/Staffing!E35</f>
        <v>14.907605636149603</v>
      </c>
      <c r="G76" s="102">
        <f>G11/Staffing!F35</f>
        <v>13.438724125904473</v>
      </c>
      <c r="H76" s="102">
        <f>H11/Staffing!G35</f>
        <v>11.637509691620282</v>
      </c>
      <c r="I76" s="13"/>
      <c r="J76" s="13"/>
      <c r="K76" s="13"/>
      <c r="L76" s="13"/>
      <c r="M76" s="13"/>
      <c r="N76" s="13"/>
      <c r="O76" s="13"/>
      <c r="P76" s="13"/>
      <c r="Q76" s="13"/>
    </row>
    <row r="77" spans="1:17" x14ac:dyDescent="0.25">
      <c r="A77" s="9" t="s">
        <v>132</v>
      </c>
      <c r="B77" s="9" t="s">
        <v>245</v>
      </c>
      <c r="C77" s="102">
        <f>C12/Staffing!B35</f>
        <v>19.311299588539022</v>
      </c>
      <c r="D77" s="102">
        <f>D12/Staffing!C35</f>
        <v>17.323657317705759</v>
      </c>
      <c r="E77" s="102">
        <f>E12/Staffing!D35</f>
        <v>15.682745017242864</v>
      </c>
      <c r="F77" s="102">
        <f>F12/Staffing!E35</f>
        <v>13.779833829116246</v>
      </c>
      <c r="G77" s="102">
        <f>G12/Staffing!F35</f>
        <v>12.363631834326695</v>
      </c>
      <c r="H77" s="102">
        <f>H12/Staffing!G35</f>
        <v>9.5969508100564749</v>
      </c>
      <c r="I77" s="13"/>
      <c r="J77" s="13"/>
      <c r="K77" s="13"/>
      <c r="L77" s="13"/>
      <c r="M77" s="13"/>
      <c r="N77" s="13"/>
      <c r="O77" s="13"/>
      <c r="P77" s="13"/>
      <c r="Q77" s="13"/>
    </row>
    <row r="78" spans="1:17" x14ac:dyDescent="0.25">
      <c r="A78" s="9" t="s">
        <v>136</v>
      </c>
      <c r="B78" s="9" t="s">
        <v>244</v>
      </c>
      <c r="C78" s="102">
        <f>C27/Staffing!B36</f>
        <v>13.798338165119448</v>
      </c>
      <c r="D78" s="102">
        <f>D27/Staffing!C36</f>
        <v>12.691820609365354</v>
      </c>
      <c r="E78" s="102">
        <f>E27/Staffing!D36</f>
        <v>11.962516951282986</v>
      </c>
      <c r="F78" s="102">
        <f>F27/Staffing!E36</f>
        <v>10.6825060925489</v>
      </c>
      <c r="G78" s="102">
        <f>G27/Staffing!F36</f>
        <v>10.183023541285593</v>
      </c>
      <c r="H78" s="102">
        <f>H27/Staffing!G36</f>
        <v>9.9117418146459286</v>
      </c>
      <c r="I78" s="83"/>
      <c r="J78" s="13"/>
      <c r="K78" s="13"/>
      <c r="L78" s="13"/>
      <c r="M78" s="13"/>
      <c r="N78" s="13"/>
      <c r="O78" s="13"/>
      <c r="P78" s="13"/>
      <c r="Q78" s="13"/>
    </row>
    <row r="79" spans="1:17" x14ac:dyDescent="0.25">
      <c r="A79" s="9" t="s">
        <v>136</v>
      </c>
      <c r="B79" s="9" t="s">
        <v>245</v>
      </c>
      <c r="C79" s="102">
        <f>C28/Staffing!B36</f>
        <v>11.959052450833735</v>
      </c>
      <c r="D79" s="102">
        <f>D28/Staffing!C36</f>
        <v>11.0759192829988</v>
      </c>
      <c r="E79" s="102">
        <f>E28/Staffing!D36</f>
        <v>10.45056401205253</v>
      </c>
      <c r="F79" s="102">
        <f>F28/Staffing!E36</f>
        <v>9.4348264378933333</v>
      </c>
      <c r="G79" s="102">
        <f>G28/Staffing!F36</f>
        <v>8.8991843102776755</v>
      </c>
      <c r="H79" s="102">
        <f>H28/Staffing!F36</f>
        <v>7.6393929170181956</v>
      </c>
      <c r="I79" s="13"/>
      <c r="J79" s="13"/>
      <c r="K79" s="13"/>
      <c r="L79" s="13"/>
      <c r="M79" s="13"/>
      <c r="N79" s="13"/>
      <c r="O79" s="13"/>
      <c r="P79" s="13"/>
      <c r="Q79" s="13"/>
    </row>
    <row r="80" spans="1:17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1E16A-3741-4C7F-9462-82F8460DA1BB}">
  <dimension ref="A1:X196"/>
  <sheetViews>
    <sheetView workbookViewId="0"/>
  </sheetViews>
  <sheetFormatPr defaultRowHeight="15" x14ac:dyDescent="0.25"/>
  <cols>
    <col min="1" max="1" width="24.5703125" style="98" customWidth="1"/>
    <col min="2" max="5" width="12.42578125" customWidth="1"/>
    <col min="6" max="7" width="10.7109375" customWidth="1"/>
    <col min="8" max="9" width="12.42578125" customWidth="1"/>
    <col min="11" max="15" width="12.7109375" customWidth="1"/>
  </cols>
  <sheetData>
    <row r="1" spans="1:24" ht="15.75" x14ac:dyDescent="0.25">
      <c r="A1" s="104" t="str">
        <f>Summary!A1</f>
        <v>Big Desert College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x14ac:dyDescent="0.25">
      <c r="A2" s="11" t="s">
        <v>46</v>
      </c>
      <c r="B2" s="62"/>
      <c r="C2" s="6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ht="30" x14ac:dyDescent="0.25">
      <c r="A3" s="11" t="s">
        <v>102</v>
      </c>
      <c r="B3" s="21" t="s">
        <v>91</v>
      </c>
      <c r="C3" s="21" t="s">
        <v>92</v>
      </c>
      <c r="D3" s="21" t="s">
        <v>93</v>
      </c>
      <c r="E3" s="21" t="s">
        <v>94</v>
      </c>
      <c r="F3" s="21" t="s">
        <v>187</v>
      </c>
      <c r="G3" s="21" t="s">
        <v>188</v>
      </c>
      <c r="H3" s="21" t="s">
        <v>89</v>
      </c>
      <c r="I3" s="21" t="s">
        <v>90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 x14ac:dyDescent="0.25">
      <c r="A4" s="10">
        <v>0</v>
      </c>
      <c r="B4" s="31">
        <v>0.2</v>
      </c>
      <c r="C4" s="31">
        <v>0.1</v>
      </c>
      <c r="D4" s="31">
        <v>0.1</v>
      </c>
      <c r="E4" s="31">
        <v>0.15</v>
      </c>
      <c r="F4" s="31">
        <v>0</v>
      </c>
      <c r="G4" s="31">
        <v>0</v>
      </c>
      <c r="H4" s="31">
        <v>0</v>
      </c>
      <c r="I4" s="31">
        <v>0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4" x14ac:dyDescent="0.25">
      <c r="A5" s="10">
        <f>A4+1</f>
        <v>1</v>
      </c>
      <c r="B5" s="31">
        <v>0.21</v>
      </c>
      <c r="C5" s="31">
        <v>0.1</v>
      </c>
      <c r="D5" s="31">
        <v>0.1</v>
      </c>
      <c r="E5" s="31">
        <v>0.15</v>
      </c>
      <c r="F5" s="31">
        <v>0.01</v>
      </c>
      <c r="G5" s="31">
        <v>0.02</v>
      </c>
      <c r="H5" s="31">
        <v>0</v>
      </c>
      <c r="I5" s="31">
        <v>0</v>
      </c>
      <c r="J5" s="13"/>
      <c r="K5" s="16"/>
      <c r="L5" s="16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4" x14ac:dyDescent="0.25">
      <c r="A6" s="10">
        <f t="shared" ref="A6:A14" si="0">A5+1</f>
        <v>2</v>
      </c>
      <c r="B6" s="31">
        <v>0.22</v>
      </c>
      <c r="C6" s="31">
        <v>0.1</v>
      </c>
      <c r="D6" s="31">
        <v>0.1</v>
      </c>
      <c r="E6" s="31">
        <v>0.15</v>
      </c>
      <c r="F6" s="31">
        <v>0.02</v>
      </c>
      <c r="G6" s="31">
        <v>0.03</v>
      </c>
      <c r="H6" s="31">
        <v>0</v>
      </c>
      <c r="I6" s="31">
        <v>0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4" x14ac:dyDescent="0.25">
      <c r="A7" s="10">
        <f t="shared" si="0"/>
        <v>3</v>
      </c>
      <c r="B7" s="31">
        <v>0.23</v>
      </c>
      <c r="C7" s="31">
        <v>0.1</v>
      </c>
      <c r="D7" s="31">
        <v>0.1</v>
      </c>
      <c r="E7" s="31">
        <v>0.15</v>
      </c>
      <c r="F7" s="31">
        <v>0.03</v>
      </c>
      <c r="G7" s="31">
        <v>0.04</v>
      </c>
      <c r="H7" s="31">
        <v>0</v>
      </c>
      <c r="I7" s="31">
        <v>0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 x14ac:dyDescent="0.25">
      <c r="A8" s="10">
        <f t="shared" si="0"/>
        <v>4</v>
      </c>
      <c r="B8" s="31">
        <v>0.24</v>
      </c>
      <c r="C8" s="31">
        <v>0.1</v>
      </c>
      <c r="D8" s="31">
        <v>0.1</v>
      </c>
      <c r="E8" s="31">
        <v>0.15</v>
      </c>
      <c r="F8" s="31">
        <v>0.03</v>
      </c>
      <c r="G8" s="31">
        <v>0.05</v>
      </c>
      <c r="H8" s="31">
        <v>0</v>
      </c>
      <c r="I8" s="3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x14ac:dyDescent="0.25">
      <c r="A9" s="10">
        <f t="shared" si="0"/>
        <v>5</v>
      </c>
      <c r="B9" s="31">
        <v>0.25</v>
      </c>
      <c r="C9" s="31">
        <v>0.1</v>
      </c>
      <c r="D9" s="31">
        <v>0.1</v>
      </c>
      <c r="E9" s="31">
        <v>0.15</v>
      </c>
      <c r="F9" s="31">
        <v>0.03</v>
      </c>
      <c r="G9" s="31">
        <v>0.05</v>
      </c>
      <c r="H9" s="31">
        <v>0</v>
      </c>
      <c r="I9" s="3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x14ac:dyDescent="0.25">
      <c r="A10" s="10">
        <f t="shared" si="0"/>
        <v>6</v>
      </c>
      <c r="B10" s="31">
        <v>0.26</v>
      </c>
      <c r="C10" s="31">
        <v>0.1</v>
      </c>
      <c r="D10" s="31">
        <v>0.1</v>
      </c>
      <c r="E10" s="31">
        <v>0.15</v>
      </c>
      <c r="F10" s="31">
        <v>0.03</v>
      </c>
      <c r="G10" s="31">
        <v>0.05</v>
      </c>
      <c r="H10" s="31">
        <v>0.01</v>
      </c>
      <c r="I10" s="3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x14ac:dyDescent="0.25">
      <c r="A11" s="10">
        <f t="shared" si="0"/>
        <v>7</v>
      </c>
      <c r="B11" s="31">
        <v>0.27</v>
      </c>
      <c r="C11" s="31">
        <v>0.1</v>
      </c>
      <c r="D11" s="31">
        <v>0.1</v>
      </c>
      <c r="E11" s="31">
        <v>0.15</v>
      </c>
      <c r="F11" s="31">
        <v>0.03</v>
      </c>
      <c r="G11" s="31">
        <v>0.05</v>
      </c>
      <c r="H11" s="31">
        <v>0.02</v>
      </c>
      <c r="I11" s="31">
        <v>0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x14ac:dyDescent="0.25">
      <c r="A12" s="10">
        <f t="shared" si="0"/>
        <v>8</v>
      </c>
      <c r="B12" s="31">
        <v>0.28000000000000003</v>
      </c>
      <c r="C12" s="31">
        <v>0.1</v>
      </c>
      <c r="D12" s="31">
        <v>0.1</v>
      </c>
      <c r="E12" s="31">
        <v>0.15</v>
      </c>
      <c r="F12" s="31">
        <v>0.03</v>
      </c>
      <c r="G12" s="31">
        <v>0.05</v>
      </c>
      <c r="H12" s="31">
        <v>0.15</v>
      </c>
      <c r="I12" s="31">
        <v>0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x14ac:dyDescent="0.25">
      <c r="A13" s="10">
        <f t="shared" si="0"/>
        <v>9</v>
      </c>
      <c r="B13" s="31">
        <v>0.28999999999999998</v>
      </c>
      <c r="C13" s="31">
        <v>0.1</v>
      </c>
      <c r="D13" s="31">
        <v>0.1</v>
      </c>
      <c r="E13" s="31">
        <v>0.15</v>
      </c>
      <c r="F13" s="31">
        <v>0.03</v>
      </c>
      <c r="G13" s="31">
        <v>0.05</v>
      </c>
      <c r="H13" s="31">
        <v>0.15</v>
      </c>
      <c r="I13" s="31">
        <v>0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x14ac:dyDescent="0.25">
      <c r="A14" s="10">
        <f t="shared" si="0"/>
        <v>10</v>
      </c>
      <c r="B14" s="31">
        <v>0.3</v>
      </c>
      <c r="C14" s="31">
        <v>0.1</v>
      </c>
      <c r="D14" s="31">
        <v>0.1</v>
      </c>
      <c r="E14" s="31">
        <v>0.15</v>
      </c>
      <c r="F14" s="31">
        <v>0.03</v>
      </c>
      <c r="G14" s="31">
        <v>0.05</v>
      </c>
      <c r="H14" s="31">
        <v>0.15</v>
      </c>
      <c r="I14" s="31">
        <v>0.03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x14ac:dyDescent="0.25">
      <c r="A15" s="10">
        <f>A14+1</f>
        <v>11</v>
      </c>
      <c r="B15" s="31">
        <v>0.31</v>
      </c>
      <c r="C15" s="31">
        <v>0.1</v>
      </c>
      <c r="D15" s="31">
        <v>0.1</v>
      </c>
      <c r="E15" s="31">
        <v>0.15</v>
      </c>
      <c r="F15" s="31">
        <v>0.03</v>
      </c>
      <c r="G15" s="31">
        <v>0.05</v>
      </c>
      <c r="H15" s="31">
        <v>0.15</v>
      </c>
      <c r="I15" s="31">
        <v>0.04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x14ac:dyDescent="0.25">
      <c r="A16" s="8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9" t="s">
        <v>129</v>
      </c>
      <c r="M16" s="8"/>
      <c r="N16" s="9" t="str">
        <f>"Coninuing Since  "&amp;$A$18</f>
        <v>Coninuing Since  New Fall 2022</v>
      </c>
      <c r="O16" s="8"/>
      <c r="P16" s="8"/>
      <c r="Q16" s="11" t="s">
        <v>130</v>
      </c>
      <c r="R16" s="13"/>
      <c r="S16" s="13"/>
      <c r="T16" s="13"/>
      <c r="U16" s="13"/>
      <c r="V16" s="13"/>
      <c r="W16" s="13"/>
      <c r="X16" s="13"/>
    </row>
    <row r="17" spans="1:24" x14ac:dyDescent="0.25">
      <c r="A17" s="11" t="s">
        <v>100</v>
      </c>
      <c r="B17" s="12" t="s">
        <v>85</v>
      </c>
      <c r="C17" s="12" t="s">
        <v>86</v>
      </c>
      <c r="D17" s="12" t="s">
        <v>96</v>
      </c>
      <c r="E17" s="12" t="s">
        <v>95</v>
      </c>
      <c r="F17" s="12" t="s">
        <v>87</v>
      </c>
      <c r="G17" s="12" t="s">
        <v>97</v>
      </c>
      <c r="H17" s="12" t="s">
        <v>98</v>
      </c>
      <c r="I17" s="12" t="s">
        <v>84</v>
      </c>
      <c r="J17" s="12" t="s">
        <v>88</v>
      </c>
      <c r="K17" s="12" t="s">
        <v>99</v>
      </c>
      <c r="L17" s="12" t="s">
        <v>103</v>
      </c>
      <c r="M17" s="12" t="s">
        <v>104</v>
      </c>
      <c r="N17" s="12" t="s">
        <v>103</v>
      </c>
      <c r="O17" s="12" t="s">
        <v>104</v>
      </c>
      <c r="P17" s="12" t="s">
        <v>103</v>
      </c>
      <c r="Q17" s="12" t="s">
        <v>104</v>
      </c>
      <c r="R17" s="13"/>
      <c r="S17" s="13"/>
      <c r="T17" s="13"/>
      <c r="U17" s="13"/>
      <c r="V17" s="13"/>
      <c r="W17" s="13"/>
      <c r="X17" s="13"/>
    </row>
    <row r="18" spans="1:24" x14ac:dyDescent="0.25">
      <c r="A18" s="11" t="str">
        <f>"New Fall "&amp;Enrollment!C2</f>
        <v>New Fall 2022</v>
      </c>
      <c r="B18" s="97">
        <f>Enrollment!C3</f>
        <v>320</v>
      </c>
      <c r="C18" s="97">
        <f>Enrollment!C7</f>
        <v>70</v>
      </c>
      <c r="D18" s="4">
        <f>D4*B18</f>
        <v>32</v>
      </c>
      <c r="E18" s="4">
        <f>E4*C18</f>
        <v>10.5</v>
      </c>
      <c r="F18" s="4">
        <f>D18+E18</f>
        <v>42.5</v>
      </c>
      <c r="G18" s="4">
        <v>0</v>
      </c>
      <c r="H18" s="4">
        <v>0</v>
      </c>
      <c r="I18" s="4">
        <f>H4*B18+I4*C18</f>
        <v>0</v>
      </c>
      <c r="J18" s="4">
        <f>I18</f>
        <v>0</v>
      </c>
      <c r="K18" s="32">
        <f>J18/(B18+C18)</f>
        <v>0</v>
      </c>
      <c r="L18" s="4">
        <f>L176</f>
        <v>1124.0895979528175</v>
      </c>
      <c r="M18" s="6">
        <f>M176</f>
        <v>1537.5488423853401</v>
      </c>
      <c r="N18" s="6">
        <v>0</v>
      </c>
      <c r="O18" s="6">
        <v>0</v>
      </c>
      <c r="P18" s="6">
        <f>L18+N18</f>
        <v>1124.0895979528175</v>
      </c>
      <c r="Q18" s="6">
        <f>M18+O18</f>
        <v>1537.5488423853401</v>
      </c>
      <c r="R18" s="13"/>
      <c r="S18" s="13"/>
      <c r="T18" s="13"/>
      <c r="U18" s="13"/>
      <c r="V18" s="13"/>
      <c r="W18" s="13"/>
      <c r="X18" s="13"/>
    </row>
    <row r="19" spans="1:24" x14ac:dyDescent="0.25">
      <c r="A19" s="11" t="str">
        <f>"Spring "&amp;Enrollment!C2</f>
        <v>Spring 2022</v>
      </c>
      <c r="B19" s="4">
        <f>IF(B18-D18+G18-(B18*(B4+H4))+(C18*(C4))&lt;0,0,B18-D18+G18-(B18*(B4+H4))+(C18*(C4)))</f>
        <v>231</v>
      </c>
      <c r="C19" s="4">
        <f t="shared" ref="C19:C29" si="1">IF(C18-E18+H18-(C18*(C4+I4))+(B18*(B4))&lt;0,0,C18-E18+H18-(C18*(C4+I4))+(B18*(B4)))</f>
        <v>116.5</v>
      </c>
      <c r="D19" s="4">
        <f>D5*B19</f>
        <v>23.1</v>
      </c>
      <c r="E19" s="4">
        <f>E5*C19</f>
        <v>17.474999999999998</v>
      </c>
      <c r="F19" s="4">
        <f>F18+D19+E19</f>
        <v>83.074999999999989</v>
      </c>
      <c r="G19" s="4">
        <f>F5*F18</f>
        <v>0.42499999999999999</v>
      </c>
      <c r="H19" s="4">
        <f>G5*F18</f>
        <v>0.85</v>
      </c>
      <c r="I19" s="4">
        <f>H5*B19+I5*C19</f>
        <v>0</v>
      </c>
      <c r="J19" s="4">
        <f>J18+I19</f>
        <v>0</v>
      </c>
      <c r="K19" s="32">
        <f t="shared" ref="K19:K29" si="2">J19/(B19+C19)</f>
        <v>0</v>
      </c>
      <c r="L19" s="106"/>
      <c r="M19" s="13"/>
      <c r="N19" s="13"/>
      <c r="O19" s="16"/>
      <c r="P19" s="13"/>
      <c r="Q19" s="13"/>
      <c r="R19" s="13"/>
      <c r="S19" s="13"/>
      <c r="T19" s="13"/>
      <c r="U19" s="13"/>
      <c r="V19" s="13"/>
      <c r="W19" s="13"/>
      <c r="X19" s="13"/>
    </row>
    <row r="20" spans="1:24" x14ac:dyDescent="0.25">
      <c r="A20" s="11" t="str">
        <f>"Fall "&amp;Enrollment!D2</f>
        <v>Fall 2023</v>
      </c>
      <c r="B20" s="4">
        <f t="shared" ref="B20:B29" si="3">IF(B19-D19+G19-(B19*(B5+H5))+(C19*(C5))&lt;0,0,B19-D19+G19-(B19*(B5+H5))+(C19*(C5)))</f>
        <v>171.46500000000003</v>
      </c>
      <c r="C20" s="4">
        <f t="shared" si="1"/>
        <v>136.73499999999999</v>
      </c>
      <c r="D20" s="4">
        <f t="shared" ref="D20:E20" si="4">D6*B20</f>
        <v>17.146500000000003</v>
      </c>
      <c r="E20" s="4">
        <f t="shared" si="4"/>
        <v>20.510249999999996</v>
      </c>
      <c r="F20" s="4">
        <f t="shared" ref="F20:F29" si="5">F19+D20+E20</f>
        <v>120.73174999999999</v>
      </c>
      <c r="G20" s="4">
        <f t="shared" ref="G20:G29" si="6">F6*F19</f>
        <v>1.6614999999999998</v>
      </c>
      <c r="H20" s="4">
        <f t="shared" ref="H20:H29" si="7">G6*F19</f>
        <v>2.4922499999999994</v>
      </c>
      <c r="I20" s="4">
        <f t="shared" ref="I20:I29" si="8">H6*B20+I6*C20</f>
        <v>0</v>
      </c>
      <c r="J20" s="4">
        <f t="shared" ref="J20:J29" si="9">J19+I20</f>
        <v>0</v>
      </c>
      <c r="K20" s="32">
        <f t="shared" si="2"/>
        <v>0</v>
      </c>
      <c r="L20" s="106"/>
      <c r="M20" s="13"/>
      <c r="N20" s="13"/>
      <c r="O20" s="16"/>
      <c r="P20" s="13"/>
      <c r="Q20" s="13"/>
      <c r="R20" s="13"/>
      <c r="S20" s="13"/>
      <c r="T20" s="13"/>
      <c r="U20" s="13"/>
      <c r="V20" s="13"/>
      <c r="W20" s="13"/>
      <c r="X20" s="13"/>
    </row>
    <row r="21" spans="1:24" x14ac:dyDescent="0.25">
      <c r="A21" s="11" t="str">
        <f>"Spring "&amp;Enrollment!D2</f>
        <v>Spring 2023</v>
      </c>
      <c r="B21" s="4">
        <f t="shared" si="3"/>
        <v>131.93120000000002</v>
      </c>
      <c r="C21" s="4">
        <f t="shared" si="1"/>
        <v>142.76579999999998</v>
      </c>
      <c r="D21" s="4">
        <f t="shared" ref="D21:E21" si="10">D7*B21</f>
        <v>13.193120000000002</v>
      </c>
      <c r="E21" s="4">
        <f t="shared" si="10"/>
        <v>21.414869999999997</v>
      </c>
      <c r="F21" s="4">
        <f t="shared" si="5"/>
        <v>155.33974000000001</v>
      </c>
      <c r="G21" s="4">
        <f t="shared" si="6"/>
        <v>3.6219524999999995</v>
      </c>
      <c r="H21" s="4">
        <f t="shared" si="7"/>
        <v>4.8292700000000002</v>
      </c>
      <c r="I21" s="4">
        <f t="shared" si="8"/>
        <v>0</v>
      </c>
      <c r="J21" s="4">
        <f t="shared" si="9"/>
        <v>0</v>
      </c>
      <c r="K21" s="32">
        <f t="shared" si="2"/>
        <v>0</v>
      </c>
      <c r="L21" s="106"/>
      <c r="M21" s="13"/>
      <c r="N21" s="13"/>
      <c r="O21" s="16"/>
      <c r="P21" s="13"/>
      <c r="Q21" s="13"/>
      <c r="R21" s="13"/>
      <c r="S21" s="13"/>
      <c r="T21" s="13"/>
      <c r="U21" s="13"/>
      <c r="V21" s="13"/>
      <c r="W21" s="13"/>
      <c r="X21" s="13"/>
    </row>
    <row r="22" spans="1:24" x14ac:dyDescent="0.25">
      <c r="A22" s="11" t="str">
        <f>"Fall "&amp;Enrollment!E2</f>
        <v>Fall 2024</v>
      </c>
      <c r="B22" s="4">
        <f t="shared" si="3"/>
        <v>106.29243650000001</v>
      </c>
      <c r="C22" s="4">
        <f t="shared" si="1"/>
        <v>142.24779599999999</v>
      </c>
      <c r="D22" s="4">
        <f t="shared" ref="D22:E22" si="11">D8*B22</f>
        <v>10.629243650000001</v>
      </c>
      <c r="E22" s="4">
        <f t="shared" si="11"/>
        <v>21.337169399999997</v>
      </c>
      <c r="F22" s="4">
        <f t="shared" si="5"/>
        <v>187.30615305000001</v>
      </c>
      <c r="G22" s="4">
        <f t="shared" si="6"/>
        <v>4.6601922</v>
      </c>
      <c r="H22" s="4">
        <f t="shared" si="7"/>
        <v>7.7669870000000003</v>
      </c>
      <c r="I22" s="4">
        <f t="shared" si="8"/>
        <v>0</v>
      </c>
      <c r="J22" s="4">
        <f t="shared" si="9"/>
        <v>0</v>
      </c>
      <c r="K22" s="32">
        <f t="shared" si="2"/>
        <v>0</v>
      </c>
      <c r="L22" s="106"/>
      <c r="M22" s="13"/>
      <c r="N22" s="13"/>
      <c r="O22" s="16"/>
      <c r="P22" s="13"/>
      <c r="Q22" s="13"/>
      <c r="R22" s="13"/>
      <c r="S22" s="13"/>
      <c r="T22" s="13"/>
      <c r="U22" s="13"/>
      <c r="V22" s="13"/>
      <c r="W22" s="13"/>
      <c r="X22" s="13"/>
    </row>
    <row r="23" spans="1:24" x14ac:dyDescent="0.25">
      <c r="A23" s="11" t="str">
        <f>"Spring "&amp;Enrollment!E2</f>
        <v>Spring 2024</v>
      </c>
      <c r="B23" s="4">
        <f t="shared" si="3"/>
        <v>89.037979890000003</v>
      </c>
      <c r="C23" s="4">
        <f t="shared" si="1"/>
        <v>139.96301876000001</v>
      </c>
      <c r="D23" s="4">
        <f t="shared" ref="D23:E23" si="12">D9*B23</f>
        <v>8.903797989000001</v>
      </c>
      <c r="E23" s="4">
        <f t="shared" si="12"/>
        <v>20.994452814000002</v>
      </c>
      <c r="F23" s="4">
        <f t="shared" si="5"/>
        <v>217.204403853</v>
      </c>
      <c r="G23" s="4">
        <f t="shared" si="6"/>
        <v>5.6191845914999998</v>
      </c>
      <c r="H23" s="4">
        <f t="shared" si="7"/>
        <v>9.3653076525000003</v>
      </c>
      <c r="I23" s="4">
        <f t="shared" si="8"/>
        <v>0</v>
      </c>
      <c r="J23" s="4">
        <f t="shared" si="9"/>
        <v>0</v>
      </c>
      <c r="K23" s="32">
        <f t="shared" si="2"/>
        <v>0</v>
      </c>
      <c r="L23" s="106"/>
      <c r="M23" s="13"/>
      <c r="N23" s="13"/>
      <c r="O23" s="16"/>
      <c r="P23" s="13"/>
      <c r="Q23" s="13"/>
      <c r="R23" s="13"/>
      <c r="S23" s="13"/>
      <c r="T23" s="13"/>
      <c r="U23" s="13"/>
      <c r="V23" s="13"/>
      <c r="W23" s="13"/>
      <c r="X23" s="13"/>
    </row>
    <row r="24" spans="1:24" x14ac:dyDescent="0.25">
      <c r="A24" s="11" t="str">
        <f>"Fall "&amp;Enrollment!F2</f>
        <v>Fall 2025</v>
      </c>
      <c r="B24" s="4">
        <f t="shared" si="3"/>
        <v>77.490173396000003</v>
      </c>
      <c r="C24" s="4">
        <f t="shared" si="1"/>
        <v>136.59706669500002</v>
      </c>
      <c r="D24" s="4">
        <f t="shared" ref="D24:E24" si="13">D10*B24</f>
        <v>7.7490173396000008</v>
      </c>
      <c r="E24" s="4">
        <f t="shared" si="13"/>
        <v>20.489560004250002</v>
      </c>
      <c r="F24" s="4">
        <f t="shared" si="5"/>
        <v>245.44298119684998</v>
      </c>
      <c r="G24" s="4">
        <f t="shared" si="6"/>
        <v>6.5161321155899996</v>
      </c>
      <c r="H24" s="4">
        <f t="shared" si="7"/>
        <v>10.860220192650001</v>
      </c>
      <c r="I24" s="4">
        <f t="shared" si="8"/>
        <v>0.77490173396000006</v>
      </c>
      <c r="J24" s="4">
        <f t="shared" si="9"/>
        <v>0.77490173396000006</v>
      </c>
      <c r="K24" s="32">
        <f t="shared" si="2"/>
        <v>3.6195605755421014E-3</v>
      </c>
      <c r="L24" s="106"/>
      <c r="M24" s="13"/>
      <c r="N24" s="13"/>
      <c r="O24" s="16"/>
      <c r="P24" s="13"/>
      <c r="Q24" s="13"/>
      <c r="R24" s="13"/>
      <c r="S24" s="13"/>
      <c r="T24" s="13"/>
      <c r="U24" s="13"/>
      <c r="V24" s="13"/>
      <c r="W24" s="13"/>
      <c r="X24" s="13"/>
    </row>
    <row r="25" spans="1:24" x14ac:dyDescent="0.25">
      <c r="A25" s="11" t="str">
        <f>"Spring "&amp;Enrollment!F2</f>
        <v>Spring 2025</v>
      </c>
      <c r="B25" s="4">
        <f>IF(B24-D24+G24-(B24*(B10+H10))+(C24*(C10))&lt;0,0,B24-D24+G24-(B24*(B10+H10))+(C24*(C10)))</f>
        <v>68.994648024570012</v>
      </c>
      <c r="C25" s="4">
        <f t="shared" si="1"/>
        <v>133.45546529686001</v>
      </c>
      <c r="D25" s="4">
        <f t="shared" ref="D25:E25" si="14">D11*B25</f>
        <v>6.8994648024570013</v>
      </c>
      <c r="E25" s="4">
        <f t="shared" si="14"/>
        <v>20.018319794529003</v>
      </c>
      <c r="F25" s="4">
        <f t="shared" si="5"/>
        <v>272.36076579383598</v>
      </c>
      <c r="G25" s="4">
        <f t="shared" si="6"/>
        <v>7.3632894359054992</v>
      </c>
      <c r="H25" s="4">
        <f t="shared" si="7"/>
        <v>12.2721490598425</v>
      </c>
      <c r="I25" s="4">
        <f t="shared" si="8"/>
        <v>1.3798929604914003</v>
      </c>
      <c r="J25" s="4">
        <f t="shared" si="9"/>
        <v>2.1547946944514003</v>
      </c>
      <c r="K25" s="32">
        <f t="shared" si="2"/>
        <v>1.0643583543123204E-2</v>
      </c>
      <c r="L25" s="106"/>
      <c r="M25" s="13"/>
      <c r="N25" s="13"/>
      <c r="O25" s="16"/>
      <c r="P25" s="13"/>
      <c r="Q25" s="13"/>
      <c r="R25" s="13"/>
      <c r="S25" s="13"/>
      <c r="T25" s="13"/>
      <c r="U25" s="13"/>
      <c r="V25" s="13"/>
      <c r="W25" s="13"/>
      <c r="X25" s="13"/>
    </row>
    <row r="26" spans="1:24" x14ac:dyDescent="0.25">
      <c r="A26" s="11" t="str">
        <f>"Fall "&amp;Enrollment!G2</f>
        <v>Fall 2026</v>
      </c>
      <c r="B26" s="4">
        <f t="shared" si="3"/>
        <v>62.795571260579209</v>
      </c>
      <c r="C26" s="4">
        <f t="shared" si="1"/>
        <v>130.99230299912142</v>
      </c>
      <c r="D26" s="4">
        <f t="shared" ref="D26:E26" si="15">D12*B26</f>
        <v>6.279557126057921</v>
      </c>
      <c r="E26" s="4">
        <f t="shared" si="15"/>
        <v>19.648845449868212</v>
      </c>
      <c r="F26" s="4">
        <f t="shared" si="5"/>
        <v>298.28916836976208</v>
      </c>
      <c r="G26" s="4">
        <f t="shared" si="6"/>
        <v>8.1708229738150795</v>
      </c>
      <c r="H26" s="4">
        <f t="shared" si="7"/>
        <v>13.6180382896918</v>
      </c>
      <c r="I26" s="4">
        <f t="shared" si="8"/>
        <v>9.4193356890868802</v>
      </c>
      <c r="J26" s="4">
        <f t="shared" si="9"/>
        <v>11.57413038353828</v>
      </c>
      <c r="K26" s="32">
        <f t="shared" si="2"/>
        <v>5.9725771943952795E-2</v>
      </c>
      <c r="L26" s="106"/>
      <c r="M26" s="13"/>
      <c r="N26" s="13"/>
      <c r="O26" s="16"/>
      <c r="P26" s="13"/>
      <c r="Q26" s="13"/>
      <c r="R26" s="13"/>
      <c r="S26" s="13"/>
      <c r="T26" s="13"/>
      <c r="U26" s="13"/>
      <c r="V26" s="13"/>
      <c r="W26" s="13"/>
      <c r="X26" s="13"/>
    </row>
    <row r="27" spans="1:24" x14ac:dyDescent="0.25">
      <c r="A27" s="11" t="str">
        <f>"Spring "&amp;Enrollment!G2</f>
        <v>Spring 2026</v>
      </c>
      <c r="B27" s="4">
        <f t="shared" si="3"/>
        <v>50.783971766199443</v>
      </c>
      <c r="C27" s="4">
        <f t="shared" si="1"/>
        <v>129.44502549199504</v>
      </c>
      <c r="D27" s="4">
        <f t="shared" ref="D27:E27" si="16">D13*B27</f>
        <v>5.0783971766199443</v>
      </c>
      <c r="E27" s="4">
        <f t="shared" si="16"/>
        <v>19.416753823799255</v>
      </c>
      <c r="F27" s="4">
        <f t="shared" si="5"/>
        <v>322.78431937018127</v>
      </c>
      <c r="G27" s="4">
        <f t="shared" si="6"/>
        <v>8.9486750510928612</v>
      </c>
      <c r="H27" s="4">
        <f t="shared" si="7"/>
        <v>14.914458418488104</v>
      </c>
      <c r="I27" s="4">
        <f t="shared" si="8"/>
        <v>7.6175957649299164</v>
      </c>
      <c r="J27" s="4">
        <f t="shared" si="9"/>
        <v>19.191726148468199</v>
      </c>
      <c r="K27" s="32">
        <f t="shared" si="2"/>
        <v>0.10648522957143405</v>
      </c>
      <c r="L27" s="106"/>
      <c r="M27" s="13"/>
      <c r="N27" s="13"/>
      <c r="O27" s="16"/>
      <c r="P27" s="13"/>
      <c r="Q27" s="13"/>
      <c r="R27" s="13"/>
      <c r="S27" s="13"/>
      <c r="T27" s="13"/>
      <c r="U27" s="13"/>
      <c r="V27" s="13"/>
      <c r="W27" s="13"/>
      <c r="X27" s="13"/>
    </row>
    <row r="28" spans="1:24" x14ac:dyDescent="0.25">
      <c r="A28" s="11" t="str">
        <f>"Fall "&amp;Enrollment!H2</f>
        <v>Fall 2027</v>
      </c>
      <c r="B28" s="4">
        <f t="shared" si="3"/>
        <v>45.253804612744112</v>
      </c>
      <c r="C28" s="4">
        <f t="shared" si="1"/>
        <v>126.72557934968222</v>
      </c>
      <c r="D28" s="4">
        <f t="shared" ref="D28:E28" si="17">D14*B28</f>
        <v>4.5253804612744117</v>
      </c>
      <c r="E28" s="4">
        <f t="shared" si="17"/>
        <v>19.008836902452334</v>
      </c>
      <c r="F28" s="4">
        <f t="shared" si="5"/>
        <v>346.31853673390805</v>
      </c>
      <c r="G28" s="4">
        <f t="shared" si="6"/>
        <v>9.6835295811054376</v>
      </c>
      <c r="H28" s="4">
        <f t="shared" si="7"/>
        <v>16.139215968509063</v>
      </c>
      <c r="I28" s="4">
        <f t="shared" si="8"/>
        <v>10.589838072402083</v>
      </c>
      <c r="J28" s="4">
        <f t="shared" si="9"/>
        <v>29.78156422087028</v>
      </c>
      <c r="K28" s="32">
        <f t="shared" si="2"/>
        <v>0.17316938539201238</v>
      </c>
      <c r="L28" s="106"/>
      <c r="M28" s="13"/>
      <c r="N28" s="13"/>
      <c r="O28" s="16"/>
      <c r="P28" s="13"/>
      <c r="Q28" s="13"/>
      <c r="R28" s="13"/>
      <c r="S28" s="13"/>
      <c r="T28" s="13"/>
      <c r="U28" s="13"/>
      <c r="V28" s="13"/>
      <c r="W28" s="13"/>
      <c r="X28" s="13"/>
    </row>
    <row r="29" spans="1:24" x14ac:dyDescent="0.25">
      <c r="A29" s="11" t="str">
        <f>"Spring "&amp;Enrollment!H2</f>
        <v>Spring 2027</v>
      </c>
      <c r="B29" s="4">
        <f t="shared" si="3"/>
        <v>42.720299591808519</v>
      </c>
      <c r="C29" s="4">
        <f t="shared" si="1"/>
        <v>120.9577744841035</v>
      </c>
      <c r="D29" s="4">
        <f t="shared" ref="D29:E29" si="18">D15*B29</f>
        <v>4.2720299591808519</v>
      </c>
      <c r="E29" s="4">
        <f t="shared" si="18"/>
        <v>18.143666172615525</v>
      </c>
      <c r="F29" s="4">
        <f t="shared" si="5"/>
        <v>368.73423286570437</v>
      </c>
      <c r="G29" s="4">
        <f t="shared" si="6"/>
        <v>10.389556102017242</v>
      </c>
      <c r="H29" s="4">
        <f t="shared" si="7"/>
        <v>17.315926836695404</v>
      </c>
      <c r="I29" s="4">
        <f t="shared" si="8"/>
        <v>11.246355918135418</v>
      </c>
      <c r="J29" s="4">
        <f t="shared" si="9"/>
        <v>41.027920139005701</v>
      </c>
      <c r="K29" s="32">
        <f t="shared" si="2"/>
        <v>0.25066228552993253</v>
      </c>
      <c r="L29" s="106"/>
      <c r="M29" s="13"/>
      <c r="N29" s="13"/>
      <c r="O29" s="16"/>
      <c r="P29" s="13"/>
      <c r="Q29" s="13"/>
      <c r="R29" s="13"/>
      <c r="S29" s="13"/>
      <c r="T29" s="13"/>
      <c r="U29" s="13"/>
      <c r="V29" s="13"/>
      <c r="W29" s="13"/>
      <c r="X29" s="13"/>
    </row>
    <row r="30" spans="1:24" x14ac:dyDescent="0.25">
      <c r="A30" s="83"/>
      <c r="B30" s="62"/>
      <c r="C30" s="62"/>
      <c r="D30" s="62"/>
      <c r="E30" s="62"/>
      <c r="F30" s="62"/>
      <c r="G30" s="62"/>
      <c r="H30" s="62"/>
      <c r="I30" s="62"/>
      <c r="J30" s="62"/>
      <c r="K30" s="13"/>
      <c r="L30" s="9" t="s">
        <v>129</v>
      </c>
      <c r="M30" s="8"/>
      <c r="N30" s="9" t="str">
        <f>"Coninuing Since  "&amp;$A$18</f>
        <v>Coninuing Since  New Fall 2022</v>
      </c>
      <c r="O30" s="8"/>
      <c r="P30" s="8"/>
      <c r="Q30" s="11" t="s">
        <v>130</v>
      </c>
      <c r="R30" s="13"/>
      <c r="S30" s="13"/>
      <c r="T30" s="13"/>
      <c r="U30" s="13"/>
      <c r="V30" s="13"/>
      <c r="W30" s="13"/>
      <c r="X30" s="13"/>
    </row>
    <row r="31" spans="1:24" x14ac:dyDescent="0.25">
      <c r="A31" s="11" t="str">
        <f>$A$17</f>
        <v>Semester</v>
      </c>
      <c r="B31" s="12" t="s">
        <v>85</v>
      </c>
      <c r="C31" s="12" t="s">
        <v>86</v>
      </c>
      <c r="D31" s="12" t="s">
        <v>96</v>
      </c>
      <c r="E31" s="12" t="s">
        <v>95</v>
      </c>
      <c r="F31" s="12" t="s">
        <v>87</v>
      </c>
      <c r="G31" s="12" t="s">
        <v>97</v>
      </c>
      <c r="H31" s="12" t="s">
        <v>98</v>
      </c>
      <c r="I31" s="12" t="s">
        <v>84</v>
      </c>
      <c r="J31" s="12" t="s">
        <v>88</v>
      </c>
      <c r="K31" s="12" t="s">
        <v>99</v>
      </c>
      <c r="L31" s="12" t="s">
        <v>103</v>
      </c>
      <c r="M31" s="12" t="s">
        <v>104</v>
      </c>
      <c r="N31" s="12" t="s">
        <v>103</v>
      </c>
      <c r="O31" s="12" t="s">
        <v>104</v>
      </c>
      <c r="P31" s="12" t="s">
        <v>103</v>
      </c>
      <c r="Q31" s="12" t="s">
        <v>104</v>
      </c>
      <c r="R31" s="13"/>
      <c r="S31" s="13"/>
      <c r="T31" s="13"/>
      <c r="U31" s="13"/>
      <c r="V31" s="13"/>
      <c r="W31" s="13"/>
      <c r="X31" s="13"/>
    </row>
    <row r="32" spans="1:24" x14ac:dyDescent="0.25">
      <c r="A32" s="11" t="str">
        <f>"New "&amp;$A$19</f>
        <v>New Spring 2022</v>
      </c>
      <c r="B32" s="97">
        <f>Enrollment!C4</f>
        <v>128</v>
      </c>
      <c r="C32" s="97">
        <f>Enrollment!C8</f>
        <v>28</v>
      </c>
      <c r="D32" s="4">
        <f>$D$4*B32</f>
        <v>12.8</v>
      </c>
      <c r="E32" s="4">
        <f>$E$4*C32</f>
        <v>4.2</v>
      </c>
      <c r="F32" s="4">
        <f>D32+E32</f>
        <v>17</v>
      </c>
      <c r="G32" s="4">
        <v>0</v>
      </c>
      <c r="H32" s="4">
        <v>0</v>
      </c>
      <c r="I32" s="4">
        <f>$H$4*B32+$I$4*C32</f>
        <v>0</v>
      </c>
      <c r="J32" s="4">
        <f>I32</f>
        <v>0</v>
      </c>
      <c r="K32" s="32">
        <f>J32/(B32+C32)</f>
        <v>0</v>
      </c>
      <c r="L32" s="4">
        <f>L177</f>
        <v>885.0895979528176</v>
      </c>
      <c r="M32" s="4">
        <f>M177</f>
        <v>1411.5488423853401</v>
      </c>
      <c r="N32" s="6">
        <f>B19</f>
        <v>231</v>
      </c>
      <c r="O32" s="6">
        <f>C19</f>
        <v>116.5</v>
      </c>
      <c r="P32" s="6">
        <f>L32+N32</f>
        <v>1116.0895979528177</v>
      </c>
      <c r="Q32" s="6">
        <f>M32+O32</f>
        <v>1528.0488423853401</v>
      </c>
      <c r="R32" s="13"/>
      <c r="S32" s="13"/>
      <c r="T32" s="13"/>
      <c r="U32" s="13"/>
      <c r="V32" s="13"/>
      <c r="W32" s="13"/>
      <c r="X32" s="13"/>
    </row>
    <row r="33" spans="1:24" x14ac:dyDescent="0.25">
      <c r="A33" s="11" t="str">
        <f>$A$20</f>
        <v>Fall 2023</v>
      </c>
      <c r="B33" s="4">
        <f>IF(B32-D32+G32-(B32*($B$4+$H$4))+(C32*($C$4))&lt;0,0,B32-D32+G32-(B32*($B$4+$H$4))+(C32*($C$4)))</f>
        <v>92.399999999999991</v>
      </c>
      <c r="C33" s="4">
        <f>IF(C32-E32+H32-(C32*($C$4+$I$4))+(B32*($B$4))&lt;0,0,C32-E32+H32-(C32*($C$4+$I$4))+(B32*($B$4)))</f>
        <v>46.6</v>
      </c>
      <c r="D33" s="4">
        <f>$D$5*B33</f>
        <v>9.24</v>
      </c>
      <c r="E33" s="4">
        <f>$E$5*C33</f>
        <v>6.99</v>
      </c>
      <c r="F33" s="4">
        <f>F32+D33+E33</f>
        <v>33.230000000000004</v>
      </c>
      <c r="G33" s="4">
        <f>$F$5*F32</f>
        <v>0.17</v>
      </c>
      <c r="H33" s="4">
        <f>$G$5*F32</f>
        <v>0.34</v>
      </c>
      <c r="I33" s="4">
        <f>$H$5*B33+$I$5*C33</f>
        <v>0</v>
      </c>
      <c r="J33" s="4">
        <f>J32+I33</f>
        <v>0</v>
      </c>
      <c r="K33" s="32">
        <f t="shared" ref="K33" si="19">J33/(B33+C33)</f>
        <v>0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1:24" x14ac:dyDescent="0.25">
      <c r="A34" s="11" t="str">
        <f>$A$21</f>
        <v>Spring 2023</v>
      </c>
      <c r="B34" s="4">
        <f>IF(B33-D33+G33-(B33*($B$5+$H$5))+(C33*($C$5))&lt;0,0,B33-D33+G33-(B33*($B$5+$H$5))+(C33*($C$5)))</f>
        <v>68.585999999999999</v>
      </c>
      <c r="C34" s="4">
        <f>IF(C33-E33+H33-(C33*($C$5+$I$5))+(B33*($B$5))&lt;0,0,C33-E33+H33-(C33*($C$5+$I$5))+(B33*($B$5)))</f>
        <v>54.694000000000003</v>
      </c>
      <c r="D34" s="4">
        <f>$D$6*B34</f>
        <v>6.8586</v>
      </c>
      <c r="E34" s="4">
        <f>$E$6*C34</f>
        <v>8.2041000000000004</v>
      </c>
      <c r="F34" s="4">
        <f t="shared" ref="F34:F43" si="20">F33+D34+E34</f>
        <v>48.292700000000011</v>
      </c>
      <c r="G34" s="4">
        <f>$F$6*F33</f>
        <v>0.66460000000000008</v>
      </c>
      <c r="H34" s="4">
        <f>$G$6*F33</f>
        <v>0.99690000000000012</v>
      </c>
      <c r="I34" s="4">
        <f>$H$6*B34+$I$6*C34</f>
        <v>0</v>
      </c>
      <c r="J34" s="4">
        <f t="shared" ref="J34:J43" si="21">J33+I34</f>
        <v>0</v>
      </c>
      <c r="K34" s="32">
        <f t="shared" ref="K34:K43" si="22">J34/(B34+C34)</f>
        <v>0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1:24" x14ac:dyDescent="0.25">
      <c r="A35" s="11" t="str">
        <f>$A$22</f>
        <v>Fall 2024</v>
      </c>
      <c r="B35" s="4">
        <f>IF(B34-D34+G34-(B34*($B$6+$H$6))+(C34*($C$6))&lt;0,0,B34-D34+G34-(B34*($B$6+$H$6))+(C34*($C$6)))</f>
        <v>52.772479999999995</v>
      </c>
      <c r="C35" s="4">
        <f>IF(C34-E34+H34-(C34*($C$6+$I$6))+(B34*($B$6))&lt;0,0,C34-E34+H34-(C34*($C$6+$I$6))+(B34*($B$6)))</f>
        <v>57.106320000000004</v>
      </c>
      <c r="D35" s="4">
        <f>$D$7*B35</f>
        <v>5.2772480000000002</v>
      </c>
      <c r="E35" s="4">
        <f>$E$7*C35</f>
        <v>8.5659480000000006</v>
      </c>
      <c r="F35" s="4">
        <f t="shared" si="20"/>
        <v>62.13589600000001</v>
      </c>
      <c r="G35" s="4">
        <f>$F$7*F34</f>
        <v>1.4487810000000003</v>
      </c>
      <c r="H35" s="4">
        <f>$G$7*F34</f>
        <v>1.9317080000000004</v>
      </c>
      <c r="I35" s="4">
        <f>$H$7*B35+$I$7*C35</f>
        <v>0</v>
      </c>
      <c r="J35" s="4">
        <f t="shared" si="21"/>
        <v>0</v>
      </c>
      <c r="K35" s="32">
        <f t="shared" si="22"/>
        <v>0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1:24" x14ac:dyDescent="0.25">
      <c r="A36" s="11" t="str">
        <f>$A$23</f>
        <v>Spring 2024</v>
      </c>
      <c r="B36" s="4">
        <f>IF(B35-D35+G35-(B35*($B$7+$H$7))+(C35*($C$7))&lt;0,0,B35-D35+G35-(B35*($B$7+$H$7))+(C35*($C$7)))</f>
        <v>42.516974599999998</v>
      </c>
      <c r="C36" s="4">
        <f>IF(C35-E35+H35-(C35*($C$7+$I$7))+(B35*($B$7))&lt;0,0,C35-E35+H35-(C35*($C$7+$I$7))+(B35*($B$7)))</f>
        <v>56.899118399999999</v>
      </c>
      <c r="D36" s="4">
        <f>$D$8*B36</f>
        <v>4.2516974599999999</v>
      </c>
      <c r="E36" s="4">
        <f>$E$8*C36</f>
        <v>8.5348677599999991</v>
      </c>
      <c r="F36" s="4">
        <f t="shared" si="20"/>
        <v>74.922461220000002</v>
      </c>
      <c r="G36" s="4">
        <f>$F$8*F35</f>
        <v>1.8640768800000003</v>
      </c>
      <c r="H36" s="4">
        <f>$G$8*F35</f>
        <v>3.1067948000000007</v>
      </c>
      <c r="I36" s="4">
        <f>$H$8*B36+$I$8*C36</f>
        <v>0</v>
      </c>
      <c r="J36" s="4">
        <f t="shared" si="21"/>
        <v>0</v>
      </c>
      <c r="K36" s="32">
        <f t="shared" si="22"/>
        <v>0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 x14ac:dyDescent="0.25">
      <c r="A37" s="11" t="str">
        <f>$A$24</f>
        <v>Fall 2025</v>
      </c>
      <c r="B37" s="4">
        <f>IF(B36-D36+G36-(B36*($B$8+$H$8))+(C36*($C$8))&lt;0,0,B36-D36+G36-(B36*($B$8+$H$8))+(C36*($C$8)))</f>
        <v>35.615191955999997</v>
      </c>
      <c r="C37" s="4">
        <f>IF(C36-E36+H36-(C36*($C$8+$I$8))+(B36*($B$8))&lt;0,0,C36-E36+H36-(C36*($C$8+$I$8))+(B36*($B$8)))</f>
        <v>55.985207504000002</v>
      </c>
      <c r="D37" s="4">
        <f>$D$9*B37</f>
        <v>3.5615191955999999</v>
      </c>
      <c r="E37" s="4">
        <f>$E$9*C37</f>
        <v>8.3977811255999999</v>
      </c>
      <c r="F37" s="4">
        <f t="shared" si="20"/>
        <v>86.881761541200007</v>
      </c>
      <c r="G37" s="4">
        <f>$F$9*F36</f>
        <v>2.2476738366000002</v>
      </c>
      <c r="H37" s="4">
        <f>$G$9*F36</f>
        <v>3.7461230610000005</v>
      </c>
      <c r="I37" s="4">
        <f>$H$9*B37+$I$9*C37</f>
        <v>0</v>
      </c>
      <c r="J37" s="4">
        <f t="shared" si="21"/>
        <v>0</v>
      </c>
      <c r="K37" s="32">
        <f t="shared" si="22"/>
        <v>0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4" x14ac:dyDescent="0.25">
      <c r="A38" s="11" t="str">
        <f>$A$25</f>
        <v>Spring 2025</v>
      </c>
      <c r="B38" s="4">
        <f>IF(B37-D37+G37-(B37*($B$9+$H$9))+(C37*($C$9))&lt;0,0,B37-D37+G37-(B37*($B$9+$H$9))+(C37*($C$9)))</f>
        <v>30.9960693584</v>
      </c>
      <c r="C38" s="4">
        <f>IF(C37-E37+H37-(C37*($C$9+$I$9))+(B37*($B$9))&lt;0,0,C37-E37+H37-(C37*($C$9+$I$9))+(B37*($B$9)))</f>
        <v>54.638826678000001</v>
      </c>
      <c r="D38" s="4">
        <f>$D$10*B38</f>
        <v>3.0996069358400002</v>
      </c>
      <c r="E38" s="4">
        <f>$E$10*C38</f>
        <v>8.1958240017000001</v>
      </c>
      <c r="F38" s="4">
        <f t="shared" si="20"/>
        <v>98.177192478740011</v>
      </c>
      <c r="G38" s="4">
        <f>$F$10*F37</f>
        <v>2.6064528462359999</v>
      </c>
      <c r="H38" s="4">
        <f>$G$10*F37</f>
        <v>4.3440880770600003</v>
      </c>
      <c r="I38" s="4">
        <f>$H$10*B38+$I$10*C38</f>
        <v>0.30996069358400002</v>
      </c>
      <c r="J38" s="4">
        <f t="shared" si="21"/>
        <v>0.30996069358400002</v>
      </c>
      <c r="K38" s="32">
        <f t="shared" si="22"/>
        <v>3.6195605755421018E-3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 x14ac:dyDescent="0.25">
      <c r="A39" s="11" t="str">
        <f>$A$26</f>
        <v>Fall 2026</v>
      </c>
      <c r="B39" s="4">
        <f>IF(B38-D38+G38-(B38*($B$10+$H$10))+(C38*($C$10))&lt;0,0,B38-D38+G38-(B38*($B$10+$H$10))+(C38*($C$10)))</f>
        <v>27.597859209827998</v>
      </c>
      <c r="C39" s="4">
        <f>IF(C38-E38+H38-(C38*($C$10+$I$10))+(B38*($B$10))&lt;0,0,C38-E38+H38-(C38*($C$10+$I$10))+(B38*($B$10)))</f>
        <v>53.382186118744002</v>
      </c>
      <c r="D39" s="4">
        <f>$D$11*B39</f>
        <v>2.7597859209828002</v>
      </c>
      <c r="E39" s="4">
        <f>$E$11*C39</f>
        <v>8.0073279178115992</v>
      </c>
      <c r="F39" s="4">
        <f t="shared" si="20"/>
        <v>108.94430631753441</v>
      </c>
      <c r="G39" s="4">
        <f>$F$11*F38</f>
        <v>2.9453157743622</v>
      </c>
      <c r="H39" s="4">
        <f>$G$11*F38</f>
        <v>4.9088596239370013</v>
      </c>
      <c r="I39" s="4">
        <f>$H$11*B39+$I$11*C39</f>
        <v>0.55195718419655992</v>
      </c>
      <c r="J39" s="4">
        <f t="shared" si="21"/>
        <v>0.86191787778055995</v>
      </c>
      <c r="K39" s="32">
        <f t="shared" si="22"/>
        <v>1.0643583543123203E-2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4" x14ac:dyDescent="0.25">
      <c r="A40" s="11" t="str">
        <f>$A$27</f>
        <v>Spring 2026</v>
      </c>
      <c r="B40" s="4">
        <f>IF(B39-D39+G39-(B39*($B$11+$H$11))+(C39*($C$11))&lt;0,0,B39-D39+G39-(B39*($B$11+$H$11))+(C39*($C$11)))</f>
        <v>25.118228504231677</v>
      </c>
      <c r="C40" s="4">
        <f>IF(C39-E39+H39-(C39*($C$11+$I$11))+(B39*($B$11))&lt;0,0,C39-E39+H39-(C39*($C$11+$I$11))+(B39*($B$11)))</f>
        <v>52.396921199648553</v>
      </c>
      <c r="D40" s="4">
        <f>$D$12*B40</f>
        <v>2.5118228504231679</v>
      </c>
      <c r="E40" s="4">
        <f>$E$12*C40</f>
        <v>7.8595381799472825</v>
      </c>
      <c r="F40" s="4">
        <f t="shared" si="20"/>
        <v>119.31566734790486</v>
      </c>
      <c r="G40" s="4">
        <f>$F$12*F39</f>
        <v>3.2683291895260322</v>
      </c>
      <c r="H40" s="4">
        <f>$G$12*F39</f>
        <v>5.4472153158767211</v>
      </c>
      <c r="I40" s="4">
        <f>$H$12*B40+$I$12*C40</f>
        <v>3.7677342756347514</v>
      </c>
      <c r="J40" s="4">
        <f t="shared" si="21"/>
        <v>4.6296521534153117</v>
      </c>
      <c r="K40" s="32">
        <f t="shared" si="22"/>
        <v>5.9725771943952809E-2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spans="1:24" x14ac:dyDescent="0.25">
      <c r="A41" s="11" t="str">
        <f>$A$28</f>
        <v>Fall 2027</v>
      </c>
      <c r="B41" s="4">
        <f>IF(B40-D40+G40-(B40*($B$12+$H$12))+(C40*($C$12))&lt;0,0,B40-D40+G40-(B40*($B$12+$H$12))+(C40*($C$12)))</f>
        <v>20.313588706479774</v>
      </c>
      <c r="C41" s="4">
        <f>IF(C40-E40+H40-(C40*($C$12+$I$12))+(B40*($B$12))&lt;0,0,C40-E40+H40-(C40*($C$12+$I$12))+(B40*($B$12)))</f>
        <v>51.778010196798</v>
      </c>
      <c r="D41" s="4">
        <f>$D$13*B41</f>
        <v>2.0313588706479773</v>
      </c>
      <c r="E41" s="4">
        <f>$E$13*C41</f>
        <v>7.7667015295196995</v>
      </c>
      <c r="F41" s="4">
        <f t="shared" si="20"/>
        <v>129.11372774807253</v>
      </c>
      <c r="G41" s="4">
        <f>$F$13*F40</f>
        <v>3.5794700204371459</v>
      </c>
      <c r="H41" s="4">
        <f>$G$13*F40</f>
        <v>5.9657833673952432</v>
      </c>
      <c r="I41" s="4">
        <f>$H$13*B41+$I$13*C41</f>
        <v>3.0470383059719661</v>
      </c>
      <c r="J41" s="4">
        <f t="shared" si="21"/>
        <v>7.6766904593872773</v>
      </c>
      <c r="K41" s="32">
        <f t="shared" si="22"/>
        <v>0.10648522957143407</v>
      </c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 spans="1:24" x14ac:dyDescent="0.25">
      <c r="A42" s="11" t="str">
        <f>$A$29</f>
        <v>Spring 2027</v>
      </c>
      <c r="B42" s="4">
        <f>IF(B41-D41+G41-(B41*($B$13+$H$13))+(C41*($C$13))&lt;0,0,B41-D41+G41-(B41*($B$13+$H$13))+(C41*($C$13)))</f>
        <v>18.101521845097643</v>
      </c>
      <c r="C42" s="4">
        <f>IF(C41-E41+H41-(C41*($C$13+$I$13))+(B41*($B$13))&lt;0,0,C41-E41+H41-(C41*($C$13+$I$13))+(B41*($B$13)))</f>
        <v>50.690231739872885</v>
      </c>
      <c r="D42" s="4">
        <f>$D$14*B42</f>
        <v>1.8101521845097643</v>
      </c>
      <c r="E42" s="4">
        <f>$E$14*C42</f>
        <v>7.6035347609809323</v>
      </c>
      <c r="F42" s="4">
        <f t="shared" si="20"/>
        <v>138.52741469356323</v>
      </c>
      <c r="G42" s="4">
        <f>$F$14*F41</f>
        <v>3.873411832442176</v>
      </c>
      <c r="H42" s="4">
        <f>$G$14*F41</f>
        <v>6.4556863874036274</v>
      </c>
      <c r="I42" s="4">
        <f>$H$14*B42+$I$14*C42</f>
        <v>4.235935228960833</v>
      </c>
      <c r="J42" s="4">
        <f t="shared" si="21"/>
        <v>11.912625688348111</v>
      </c>
      <c r="K42" s="32">
        <f t="shared" si="22"/>
        <v>0.17316938539201238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 spans="1:24" x14ac:dyDescent="0.25">
      <c r="A43" s="105"/>
      <c r="B43" s="4">
        <f>IF(B42-D42+G42-(B42*($B$13+$H$13))+(C42*($C$13))&lt;0,0,B42-D42+G42-(B42*($B$13+$H$13))+(C42*($C$13)))</f>
        <v>17.269135055174385</v>
      </c>
      <c r="C43" s="4">
        <f>IF(C42-E42+H42-(C42*($C$14+$I$14))+(B42*($B$14))&lt;0,0,C42-E42+H42-(C42*($C$14+$I$14))+(B42*($B$14)))</f>
        <v>48.383109793641395</v>
      </c>
      <c r="D43" s="4">
        <f>$D$15*B43</f>
        <v>1.7269135055174385</v>
      </c>
      <c r="E43" s="4">
        <f>$E$15*C43</f>
        <v>7.257466469046209</v>
      </c>
      <c r="F43" s="4">
        <f t="shared" si="20"/>
        <v>147.5117946681269</v>
      </c>
      <c r="G43" s="4">
        <f>$F$15*F42</f>
        <v>4.1558224408068964</v>
      </c>
      <c r="H43" s="4">
        <f>$G$15*F42</f>
        <v>6.9263707346781622</v>
      </c>
      <c r="I43" s="4">
        <f>$H$15*B43+$I$15*C43</f>
        <v>4.5256946500218138</v>
      </c>
      <c r="J43" s="4">
        <f t="shared" si="21"/>
        <v>16.438320338369927</v>
      </c>
      <c r="K43" s="32">
        <f t="shared" si="22"/>
        <v>0.25038474124112814</v>
      </c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 spans="1:24" x14ac:dyDescent="0.25">
      <c r="A44" s="8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9" t="s">
        <v>129</v>
      </c>
      <c r="M44" s="8"/>
      <c r="N44" s="9" t="str">
        <f>"Coninuing Since  "&amp;$A$18</f>
        <v>Coninuing Since  New Fall 2022</v>
      </c>
      <c r="O44" s="8"/>
      <c r="P44" s="8"/>
      <c r="Q44" s="11" t="s">
        <v>130</v>
      </c>
      <c r="R44" s="13"/>
      <c r="S44" s="13"/>
      <c r="T44" s="13"/>
      <c r="U44" s="13"/>
      <c r="V44" s="13"/>
      <c r="W44" s="13"/>
      <c r="X44" s="13"/>
    </row>
    <row r="45" spans="1:24" x14ac:dyDescent="0.25">
      <c r="A45" s="11" t="str">
        <f>$A$17</f>
        <v>Semester</v>
      </c>
      <c r="B45" s="12" t="s">
        <v>85</v>
      </c>
      <c r="C45" s="12" t="s">
        <v>86</v>
      </c>
      <c r="D45" s="12" t="s">
        <v>96</v>
      </c>
      <c r="E45" s="12" t="s">
        <v>95</v>
      </c>
      <c r="F45" s="12" t="s">
        <v>87</v>
      </c>
      <c r="G45" s="12" t="s">
        <v>97</v>
      </c>
      <c r="H45" s="12" t="s">
        <v>98</v>
      </c>
      <c r="I45" s="12" t="s">
        <v>84</v>
      </c>
      <c r="J45" s="12" t="s">
        <v>88</v>
      </c>
      <c r="K45" s="12" t="s">
        <v>99</v>
      </c>
      <c r="L45" s="12" t="s">
        <v>103</v>
      </c>
      <c r="M45" s="12" t="s">
        <v>104</v>
      </c>
      <c r="N45" s="12" t="s">
        <v>103</v>
      </c>
      <c r="O45" s="12" t="s">
        <v>104</v>
      </c>
      <c r="P45" s="12" t="s">
        <v>103</v>
      </c>
      <c r="Q45" s="12" t="s">
        <v>104</v>
      </c>
      <c r="R45" s="13"/>
      <c r="S45" s="13"/>
      <c r="T45" s="13"/>
      <c r="U45" s="13"/>
      <c r="V45" s="13"/>
      <c r="W45" s="13"/>
      <c r="X45" s="13"/>
    </row>
    <row r="46" spans="1:24" x14ac:dyDescent="0.25">
      <c r="A46" s="11" t="str">
        <f>"New "&amp;$A$20</f>
        <v>New Fall 2023</v>
      </c>
      <c r="B46" s="97">
        <f>Enrollment!D3</f>
        <v>316.8</v>
      </c>
      <c r="C46" s="97">
        <f>Enrollment!D7</f>
        <v>69.3</v>
      </c>
      <c r="D46" s="4">
        <f>$D$4*B46</f>
        <v>31.680000000000003</v>
      </c>
      <c r="E46" s="4">
        <f>$E$4*C46</f>
        <v>10.395</v>
      </c>
      <c r="F46" s="4">
        <f>D46+E46</f>
        <v>42.075000000000003</v>
      </c>
      <c r="G46" s="4">
        <v>0</v>
      </c>
      <c r="H46" s="4">
        <v>0</v>
      </c>
      <c r="I46" s="4">
        <f>$H$4*B46+$I$4*C46</f>
        <v>0</v>
      </c>
      <c r="J46" s="4">
        <f>I46</f>
        <v>0</v>
      </c>
      <c r="K46" s="32">
        <f>J46/(B46+C46)</f>
        <v>0</v>
      </c>
      <c r="L46" s="4">
        <f>L178</f>
        <v>707.12959795281756</v>
      </c>
      <c r="M46" s="4">
        <f>M178</f>
        <v>1265.9588423853399</v>
      </c>
      <c r="N46" s="6">
        <f>B33+B20</f>
        <v>263.86500000000001</v>
      </c>
      <c r="O46" s="6">
        <f>C33+C20</f>
        <v>183.33499999999998</v>
      </c>
      <c r="P46" s="6">
        <f>L46+N46</f>
        <v>970.99459795281757</v>
      </c>
      <c r="Q46" s="6">
        <f>M46+O46</f>
        <v>1449.29384238534</v>
      </c>
      <c r="R46" s="13"/>
      <c r="S46" s="13"/>
      <c r="T46" s="13"/>
      <c r="U46" s="13"/>
      <c r="V46" s="13"/>
      <c r="W46" s="13"/>
      <c r="X46" s="13"/>
    </row>
    <row r="47" spans="1:24" x14ac:dyDescent="0.25">
      <c r="A47" s="11" t="str">
        <f>$A$21</f>
        <v>Spring 2023</v>
      </c>
      <c r="B47" s="4">
        <f>IF(B46-D46+G46-(B46*($B$4+$H$4))+(C46*($C$4))&lt;0,0,B46-D46+G46-(B46*($B$4+$H$4))+(C46*($C$4)))</f>
        <v>228.69</v>
      </c>
      <c r="C47" s="4">
        <f>IF(C46-E46+H46-(C46*($C$4+$I$4))+(B46*($B$4))&lt;0,0,C46-E46+H46-(C46*($C$4+$I$4))+(B46*($B$4)))</f>
        <v>115.33500000000001</v>
      </c>
      <c r="D47" s="4">
        <f>$D$5*B47</f>
        <v>22.869</v>
      </c>
      <c r="E47" s="4">
        <f>$E$5*C47</f>
        <v>17.300250000000002</v>
      </c>
      <c r="F47" s="4">
        <f>F46+D47+E47</f>
        <v>82.244250000000008</v>
      </c>
      <c r="G47" s="4">
        <f>$F$5*F46</f>
        <v>0.42075000000000001</v>
      </c>
      <c r="H47" s="4">
        <f>$G$5*F46</f>
        <v>0.84150000000000003</v>
      </c>
      <c r="I47" s="4">
        <f>$H$5*B47+$I$5*C47</f>
        <v>0</v>
      </c>
      <c r="J47" s="4">
        <f>J46+I47</f>
        <v>0</v>
      </c>
      <c r="K47" s="32">
        <f t="shared" ref="K47:K57" si="23">J47/(B47+C47)</f>
        <v>0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 x14ac:dyDescent="0.25">
      <c r="A48" s="11" t="str">
        <f>$A$22</f>
        <v>Fall 2024</v>
      </c>
      <c r="B48" s="4">
        <f>IF(B47-D47+G47-(B47*($B$5+$H$5))+(C47*($C$5))&lt;0,0,B47-D47+G47-(B47*($B$5+$H$5))+(C47*($C$5)))</f>
        <v>169.75035</v>
      </c>
      <c r="C48" s="4">
        <f>IF(C47-E47+H47-(C47*($C$5+$I$5))+(B47*($B$5))&lt;0,0,C47-E47+H47-(C47*($C$5+$I$5))+(B47*($B$5)))</f>
        <v>135.36765</v>
      </c>
      <c r="D48" s="4">
        <f>$D$6*B48</f>
        <v>16.975035000000002</v>
      </c>
      <c r="E48" s="4">
        <f>$E$6*C48</f>
        <v>20.3051475</v>
      </c>
      <c r="F48" s="4">
        <f t="shared" ref="F48:F57" si="24">F47+D48+E48</f>
        <v>119.52443250000002</v>
      </c>
      <c r="G48" s="4">
        <f>$F$6*F47</f>
        <v>1.6448850000000002</v>
      </c>
      <c r="H48" s="4">
        <f>$G$6*F47</f>
        <v>2.4673275000000001</v>
      </c>
      <c r="I48" s="4">
        <f>$H$6*B48+$I$6*C48</f>
        <v>0</v>
      </c>
      <c r="J48" s="4">
        <f t="shared" ref="J48:J57" si="25">J47+I48</f>
        <v>0</v>
      </c>
      <c r="K48" s="32">
        <f t="shared" si="23"/>
        <v>0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 spans="1:24" x14ac:dyDescent="0.25">
      <c r="A49" s="11" t="str">
        <f>$A$23</f>
        <v>Spring 2024</v>
      </c>
      <c r="B49" s="4">
        <f>IF(B48-D48+G48-(B48*($B$6+$H$6))+(C48*($C$6))&lt;0,0,B48-D48+G48-(B48*($B$6+$H$6))+(C48*($C$6)))</f>
        <v>130.61188799999999</v>
      </c>
      <c r="C49" s="4">
        <f>IF(C48-E48+H48-(C48*($C$6+$I$6))+(B48*($B$6))&lt;0,0,C48-E48+H48-(C48*($C$6+$I$6))+(B48*($B$6)))</f>
        <v>141.33814199999998</v>
      </c>
      <c r="D49" s="4">
        <f>$D$7*B49</f>
        <v>13.0611888</v>
      </c>
      <c r="E49" s="4">
        <f>$E$7*C49</f>
        <v>21.200721299999994</v>
      </c>
      <c r="F49" s="4">
        <f t="shared" si="24"/>
        <v>153.78634260000001</v>
      </c>
      <c r="G49" s="4">
        <f>$F$7*F48</f>
        <v>3.5857329750000004</v>
      </c>
      <c r="H49" s="4">
        <f>$G$7*F48</f>
        <v>4.7809773000000009</v>
      </c>
      <c r="I49" s="4">
        <f>$H$7*B49+$I$7*C49</f>
        <v>0</v>
      </c>
      <c r="J49" s="4">
        <f t="shared" si="25"/>
        <v>0</v>
      </c>
      <c r="K49" s="32">
        <f t="shared" si="23"/>
        <v>0</v>
      </c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spans="1:24" x14ac:dyDescent="0.25">
      <c r="A50" s="11" t="str">
        <f>$A$24</f>
        <v>Fall 2025</v>
      </c>
      <c r="B50" s="4">
        <f>IF(B49-D49+G49-(B49*($B$7+$H$7))+(C49*($C$7))&lt;0,0,B49-D49+G49-(B49*($B$7+$H$7))+(C49*($C$7)))</f>
        <v>105.22951213500001</v>
      </c>
      <c r="C50" s="4">
        <f>IF(C49-E49+H49-(C49*($C$7+$I$7))+(B49*($B$7))&lt;0,0,C49-E49+H49-(C49*($C$7+$I$7))+(B49*($B$7)))</f>
        <v>140.82531803999998</v>
      </c>
      <c r="D50" s="4">
        <f>$D$8*B50</f>
        <v>10.522951213500001</v>
      </c>
      <c r="E50" s="4">
        <f>$E$8*C50</f>
        <v>21.123797705999998</v>
      </c>
      <c r="F50" s="4">
        <f t="shared" si="24"/>
        <v>185.43309151950001</v>
      </c>
      <c r="G50" s="4">
        <f>$F$8*F49</f>
        <v>4.6135902780000002</v>
      </c>
      <c r="H50" s="4">
        <f>$G$8*F49</f>
        <v>7.6893171300000009</v>
      </c>
      <c r="I50" s="4">
        <f>$H$8*B50+$I$8*C50</f>
        <v>0</v>
      </c>
      <c r="J50" s="4">
        <f t="shared" si="25"/>
        <v>0</v>
      </c>
      <c r="K50" s="32">
        <f t="shared" si="23"/>
        <v>0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4" x14ac:dyDescent="0.25">
      <c r="A51" s="11" t="str">
        <f>$A$25</f>
        <v>Spring 2025</v>
      </c>
      <c r="B51" s="4">
        <f>IF(B50-D50+G50-(B50*($B$8+$H$8))+(C50*($C$8))&lt;0,0,B50-D50+G50-(B50*($B$8+$H$8))+(C50*($C$8)))</f>
        <v>88.147600091100003</v>
      </c>
      <c r="C51" s="4">
        <f>IF(C50-E50+H50-(C50*($C$8+$I$8))+(B50*($B$8))&lt;0,0,C50-E50+H50-(C50*($C$8+$I$8))+(B50*($B$8)))</f>
        <v>138.56338857239999</v>
      </c>
      <c r="D51" s="4">
        <f>$D$9*B51</f>
        <v>8.8147600091100013</v>
      </c>
      <c r="E51" s="4">
        <f>$E$9*C51</f>
        <v>20.784508285859996</v>
      </c>
      <c r="F51" s="4">
        <f t="shared" si="24"/>
        <v>215.03235981447</v>
      </c>
      <c r="G51" s="4">
        <f>$F$9*F50</f>
        <v>5.5629927455850003</v>
      </c>
      <c r="H51" s="4">
        <f>$G$9*F50</f>
        <v>9.2716545759750009</v>
      </c>
      <c r="I51" s="4">
        <f>$H$9*B51+$I$9*C51</f>
        <v>0</v>
      </c>
      <c r="J51" s="4">
        <f t="shared" si="25"/>
        <v>0</v>
      </c>
      <c r="K51" s="32">
        <f t="shared" si="23"/>
        <v>0</v>
      </c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 spans="1:24" x14ac:dyDescent="0.25">
      <c r="A52" s="11" t="str">
        <f>$A$26</f>
        <v>Fall 2026</v>
      </c>
      <c r="B52" s="4">
        <f>IF(B51-D51+G51-(B51*($B$9+$H$9))+(C51*($C$9))&lt;0,0,B51-D51+G51-(B51*($B$9+$H$9))+(C51*($C$9)))</f>
        <v>76.71527166204001</v>
      </c>
      <c r="C52" s="4">
        <f>IF(C51-E51+H51-(C51*($C$9+$I$9))+(B51*($B$9))&lt;0,0,C51-E51+H51-(C51*($C$9+$I$9))+(B51*($B$9)))</f>
        <v>135.23109602804999</v>
      </c>
      <c r="D52" s="4">
        <f>$D$10*B52</f>
        <v>7.671527166204001</v>
      </c>
      <c r="E52" s="4">
        <f>$E$10*C52</f>
        <v>20.284664404207497</v>
      </c>
      <c r="F52" s="4">
        <f t="shared" si="24"/>
        <v>242.98855138488148</v>
      </c>
      <c r="G52" s="4">
        <f>$F$10*F51</f>
        <v>6.4509707944340997</v>
      </c>
      <c r="H52" s="4">
        <f>$G$10*F51</f>
        <v>10.751617990723501</v>
      </c>
      <c r="I52" s="4">
        <f>$H$10*B52+$I$10*C52</f>
        <v>0.76715271662040008</v>
      </c>
      <c r="J52" s="4">
        <f t="shared" si="25"/>
        <v>0.76715271662040008</v>
      </c>
      <c r="K52" s="32">
        <f t="shared" si="23"/>
        <v>3.6195605755421018E-3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 spans="1:24" x14ac:dyDescent="0.25">
      <c r="A53" s="11" t="str">
        <f>$A$27</f>
        <v>Spring 2026</v>
      </c>
      <c r="B53" s="4">
        <f>IF(B52-D52+G52-(B52*($B$10+$H$10))+(C52*($C$10))&lt;0,0,B52-D52+G52-(B52*($B$10+$H$10))+(C52*($C$10)))</f>
        <v>68.304701544324303</v>
      </c>
      <c r="C53" s="4">
        <f>IF(C52-E52+H52-(C52*($C$10+$I$10))+(B52*($B$10))&lt;0,0,C52-E52+H52-(C52*($C$10+$I$10))+(B52*($B$10)))</f>
        <v>132.12091064389142</v>
      </c>
      <c r="D53" s="4">
        <f>$D$11*B53</f>
        <v>6.8304701544324304</v>
      </c>
      <c r="E53" s="4">
        <f>$E$11*C53</f>
        <v>19.818136596583713</v>
      </c>
      <c r="F53" s="4">
        <f t="shared" si="24"/>
        <v>269.63715813589761</v>
      </c>
      <c r="G53" s="4">
        <f>$F$11*F52</f>
        <v>7.289656541546444</v>
      </c>
      <c r="H53" s="4">
        <f>$G$11*F52</f>
        <v>12.149427569244075</v>
      </c>
      <c r="I53" s="4">
        <f>$H$11*B53+$I$11*C53</f>
        <v>1.3660940308864862</v>
      </c>
      <c r="J53" s="4">
        <f t="shared" si="25"/>
        <v>2.1332467475068864</v>
      </c>
      <c r="K53" s="32">
        <f t="shared" si="23"/>
        <v>1.0643583543123204E-2</v>
      </c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 spans="1:24" x14ac:dyDescent="0.25">
      <c r="A54" s="11" t="str">
        <f>$A$28</f>
        <v>Fall 2027</v>
      </c>
      <c r="B54" s="4">
        <f>IF(B53-D53+G53-(B53*($B$11+$H$11))+(C53*($C$11))&lt;0,0,B53-D53+G53-(B53*($B$11+$H$11))+(C53*($C$11)))</f>
        <v>62.167615547973412</v>
      </c>
      <c r="C54" s="4">
        <f>IF(C53-E53+H53-(C53*($C$11+$I$11))+(B53*($B$11))&lt;0,0,C53-E53+H53-(C53*($C$11+$I$11))+(B53*($B$11)))</f>
        <v>129.68237996913018</v>
      </c>
      <c r="D54" s="4">
        <f>$D$12*B54</f>
        <v>6.2167615547973414</v>
      </c>
      <c r="E54" s="4">
        <f>$E$12*C54</f>
        <v>19.452356995369527</v>
      </c>
      <c r="F54" s="4">
        <f t="shared" si="24"/>
        <v>295.30627668606451</v>
      </c>
      <c r="G54" s="4">
        <f>$F$12*F53</f>
        <v>8.0891147440769284</v>
      </c>
      <c r="H54" s="4">
        <f>$G$12*F53</f>
        <v>13.481857906794881</v>
      </c>
      <c r="I54" s="4">
        <f>$H$12*B54+$I$12*C54</f>
        <v>9.3251423321960107</v>
      </c>
      <c r="J54" s="4">
        <f t="shared" si="25"/>
        <v>11.458389079702897</v>
      </c>
      <c r="K54" s="32">
        <f t="shared" si="23"/>
        <v>5.9725771943952802E-2</v>
      </c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x14ac:dyDescent="0.25">
      <c r="A55" s="11" t="str">
        <f>$A$29</f>
        <v>Spring 2027</v>
      </c>
      <c r="B55" s="4">
        <f>IF(B54-D54+G54-(B54*($B$12+$H$12))+(C54*($C$12))&lt;0,0,B54-D54+G54-(B54*($B$12+$H$12))+(C54*($C$12)))</f>
        <v>50.276132048537434</v>
      </c>
      <c r="C55" s="4">
        <f>IF(C54-E54+H54-(C54*($C$12+$I$12))+(B54*($B$12))&lt;0,0,C54-E54+H54-(C54*($C$12+$I$12))+(B54*($B$12)))</f>
        <v>128.15057523707509</v>
      </c>
      <c r="D55" s="4">
        <f>$D$13*B55</f>
        <v>5.0276132048537434</v>
      </c>
      <c r="E55" s="4">
        <f>$E$13*C55</f>
        <v>19.222586285561263</v>
      </c>
      <c r="F55" s="4">
        <f t="shared" si="24"/>
        <v>319.55647617647952</v>
      </c>
      <c r="G55" s="4">
        <f>$F$13*F54</f>
        <v>8.8591883005819341</v>
      </c>
      <c r="H55" s="4">
        <f>$G$13*F54</f>
        <v>14.765313834303226</v>
      </c>
      <c r="I55" s="4">
        <f>$H$13*B55+$I$13*C55</f>
        <v>7.5414198072806151</v>
      </c>
      <c r="J55" s="4">
        <f t="shared" si="25"/>
        <v>18.999808886983512</v>
      </c>
      <c r="K55" s="32">
        <f t="shared" si="23"/>
        <v>0.10648522957143405</v>
      </c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 spans="1:24" x14ac:dyDescent="0.25">
      <c r="A56" s="105"/>
      <c r="B56" s="4">
        <f>IF(B55-D55+G55-(B55*($B$13+$H$13))+(C55*($C$13))&lt;0,0,B55-D55+G55-(B55*($B$13+$H$13))+(C55*($C$13)))</f>
        <v>44.801266566616661</v>
      </c>
      <c r="C56" s="4">
        <f>IF(C55-E55+H55-(C55*($C$13+$I$13))+(B55*($B$13))&lt;0,0,C55-E55+H55-(C55*($C$13+$I$13))+(B55*($B$13)))</f>
        <v>125.45832355618541</v>
      </c>
      <c r="D56" s="4">
        <f>$D$14*B56</f>
        <v>4.4801266566616667</v>
      </c>
      <c r="E56" s="4">
        <f>$E$14*C56</f>
        <v>18.818748533427812</v>
      </c>
      <c r="F56" s="4">
        <f t="shared" si="24"/>
        <v>342.85535136656898</v>
      </c>
      <c r="G56" s="4">
        <f>$F$14*F55</f>
        <v>9.5866942852943851</v>
      </c>
      <c r="H56" s="4">
        <f>$G$14*F55</f>
        <v>15.977823808823977</v>
      </c>
      <c r="I56" s="4">
        <f>$H$14*B56+$I$14*C56</f>
        <v>10.48393969167806</v>
      </c>
      <c r="J56" s="4">
        <f t="shared" si="25"/>
        <v>29.483748578661572</v>
      </c>
      <c r="K56" s="32">
        <f t="shared" si="23"/>
        <v>0.17316938539201235</v>
      </c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 x14ac:dyDescent="0.25">
      <c r="A57" s="105"/>
      <c r="B57" s="4">
        <f>IF(B56-D56+G56-(B56*($B$13+$H$13))+(C56*($C$13))&lt;0,0,B56-D56+G56-(B56*($B$13+$H$13))+(C56*($C$13)))</f>
        <v>42.741109261556595</v>
      </c>
      <c r="C57" s="4">
        <f>IF(C56-E56+H56-(C56*($C$14+$I$14))+(B56*($B$14))&lt;0,0,C56-E56+H56-(C56*($C$14+$I$14))+(B56*($B$14)))</f>
        <v>119.74819673926247</v>
      </c>
      <c r="D57" s="4">
        <f>$D$15*B57</f>
        <v>4.27411092615566</v>
      </c>
      <c r="E57" s="4">
        <f>$E$15*C57</f>
        <v>17.962229510889369</v>
      </c>
      <c r="F57" s="4">
        <f t="shared" si="24"/>
        <v>365.09169180361403</v>
      </c>
      <c r="G57" s="4">
        <f>$F$15*F56</f>
        <v>10.285660540997069</v>
      </c>
      <c r="H57" s="4">
        <f>$G$15*F56</f>
        <v>17.142767568328448</v>
      </c>
      <c r="I57" s="4">
        <f>$H$15*B57+$I$15*C57</f>
        <v>11.201094258803987</v>
      </c>
      <c r="J57" s="4">
        <f t="shared" si="25"/>
        <v>40.68484283746556</v>
      </c>
      <c r="K57" s="32">
        <f t="shared" si="23"/>
        <v>0.25038474124112808</v>
      </c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 spans="1:24" x14ac:dyDescent="0.25">
      <c r="A58" s="8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9" t="s">
        <v>129</v>
      </c>
      <c r="M58" s="8"/>
      <c r="N58" s="9" t="str">
        <f>"Coninuing Since  "&amp;$A$18</f>
        <v>Coninuing Since  New Fall 2022</v>
      </c>
      <c r="O58" s="8"/>
      <c r="P58" s="8"/>
      <c r="Q58" s="11" t="s">
        <v>130</v>
      </c>
      <c r="R58" s="13"/>
      <c r="S58" s="13"/>
      <c r="T58" s="13"/>
      <c r="U58" s="13"/>
      <c r="V58" s="13"/>
      <c r="W58" s="13"/>
      <c r="X58" s="13"/>
    </row>
    <row r="59" spans="1:24" x14ac:dyDescent="0.25">
      <c r="A59" s="11" t="str">
        <f>$A$17</f>
        <v>Semester</v>
      </c>
      <c r="B59" s="12" t="s">
        <v>85</v>
      </c>
      <c r="C59" s="12" t="s">
        <v>86</v>
      </c>
      <c r="D59" s="12" t="s">
        <v>96</v>
      </c>
      <c r="E59" s="12" t="s">
        <v>95</v>
      </c>
      <c r="F59" s="12" t="s">
        <v>87</v>
      </c>
      <c r="G59" s="12" t="s">
        <v>97</v>
      </c>
      <c r="H59" s="12" t="s">
        <v>98</v>
      </c>
      <c r="I59" s="12" t="s">
        <v>84</v>
      </c>
      <c r="J59" s="12" t="s">
        <v>88</v>
      </c>
      <c r="K59" s="12" t="s">
        <v>99</v>
      </c>
      <c r="L59" s="12" t="s">
        <v>103</v>
      </c>
      <c r="M59" s="12" t="s">
        <v>104</v>
      </c>
      <c r="N59" s="12" t="s">
        <v>103</v>
      </c>
      <c r="O59" s="12" t="s">
        <v>104</v>
      </c>
      <c r="P59" s="12" t="s">
        <v>103</v>
      </c>
      <c r="Q59" s="12" t="s">
        <v>104</v>
      </c>
      <c r="R59" s="13"/>
      <c r="S59" s="13"/>
      <c r="T59" s="13"/>
      <c r="U59" s="13"/>
      <c r="V59" s="13"/>
      <c r="W59" s="13"/>
      <c r="X59" s="13"/>
    </row>
    <row r="60" spans="1:24" x14ac:dyDescent="0.25">
      <c r="A60" s="11" t="str">
        <f>"New "&amp;$A$21</f>
        <v>New Spring 2023</v>
      </c>
      <c r="B60" s="97">
        <f>Enrollment!D4</f>
        <v>126.72000000000001</v>
      </c>
      <c r="C60" s="97">
        <f>Enrollment!D8</f>
        <v>27.72</v>
      </c>
      <c r="D60" s="4">
        <f>$D$4*B60</f>
        <v>12.672000000000002</v>
      </c>
      <c r="E60" s="4">
        <f>$E$4*C60</f>
        <v>4.1579999999999995</v>
      </c>
      <c r="F60" s="4">
        <f>D60+E60</f>
        <v>16.830000000000002</v>
      </c>
      <c r="G60" s="4">
        <v>0</v>
      </c>
      <c r="H60" s="4">
        <v>0</v>
      </c>
      <c r="I60" s="4">
        <f>$H$4*B60+$I$4*C60</f>
        <v>0</v>
      </c>
      <c r="J60" s="4">
        <f>I60</f>
        <v>0</v>
      </c>
      <c r="K60" s="32">
        <f>J60/(B60+C60)</f>
        <v>0</v>
      </c>
      <c r="L60" s="4">
        <f>L179</f>
        <v>569.80179795281776</v>
      </c>
      <c r="M60" s="4">
        <f>M179</f>
        <v>1114.9811423853403</v>
      </c>
      <c r="N60" s="6">
        <f>B47+B34+B21</f>
        <v>429.20720000000006</v>
      </c>
      <c r="O60" s="6">
        <f>C47+C34+C21</f>
        <v>312.79480000000001</v>
      </c>
      <c r="P60" s="6">
        <f>L60+N60</f>
        <v>999.00899795281782</v>
      </c>
      <c r="Q60" s="6">
        <f>M60+O60</f>
        <v>1427.7759423853404</v>
      </c>
      <c r="R60" s="13"/>
      <c r="S60" s="13"/>
      <c r="T60" s="13"/>
      <c r="U60" s="13"/>
      <c r="V60" s="13"/>
      <c r="W60" s="13"/>
      <c r="X60" s="13"/>
    </row>
    <row r="61" spans="1:24" x14ac:dyDescent="0.25">
      <c r="A61" s="11" t="str">
        <f>$A$22</f>
        <v>Fall 2024</v>
      </c>
      <c r="B61" s="4">
        <f>IF(B60-D60+G60-(B60*($B$4+$H$4))+(C60*($C$4))&lt;0,0,B60-D60+G60-(B60*($B$4+$H$4))+(C60*($C$4)))</f>
        <v>91.476000000000013</v>
      </c>
      <c r="C61" s="4">
        <f>IF(C60-E60+H60-(C60*($C$4+$I$4))+(B60*($B$4))&lt;0,0,C60-E60+H60-(C60*($C$4+$I$4))+(B60*($B$4)))</f>
        <v>46.134</v>
      </c>
      <c r="D61" s="4">
        <f>$D$5*B61</f>
        <v>9.1476000000000024</v>
      </c>
      <c r="E61" s="4">
        <f>$E$5*C61</f>
        <v>6.9200999999999997</v>
      </c>
      <c r="F61" s="4">
        <f>F60+D61+E61</f>
        <v>32.8977</v>
      </c>
      <c r="G61" s="4">
        <f>$F$5*F60</f>
        <v>0.16830000000000003</v>
      </c>
      <c r="H61" s="4">
        <f>$G$5*F60</f>
        <v>0.33660000000000007</v>
      </c>
      <c r="I61" s="4">
        <f>$H$5*B61+$I$5*C61</f>
        <v>0</v>
      </c>
      <c r="J61" s="4">
        <f>J60+I61</f>
        <v>0</v>
      </c>
      <c r="K61" s="32">
        <f t="shared" ref="K61:K71" si="26">J61/(B61+C61)</f>
        <v>0</v>
      </c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 spans="1:24" x14ac:dyDescent="0.25">
      <c r="A62" s="11" t="str">
        <f>$A$23</f>
        <v>Spring 2024</v>
      </c>
      <c r="B62" s="4">
        <f>IF(B61-D61+G61-(B61*($B$5+$H$5))+(C61*($C$5))&lt;0,0,B61-D61+G61-(B61*($B$5+$H$5))+(C61*($C$5)))</f>
        <v>67.900140000000022</v>
      </c>
      <c r="C62" s="4">
        <f>IF(C61-E61+H61-(C61*($C$5+$I$5))+(B61*($B$5))&lt;0,0,C61-E61+H61-(C61*($C$5+$I$5))+(B61*($B$5)))</f>
        <v>54.147060000000003</v>
      </c>
      <c r="D62" s="4">
        <f>$D$6*B62</f>
        <v>6.7900140000000029</v>
      </c>
      <c r="E62" s="4">
        <f>$E$6*C62</f>
        <v>8.1220590000000001</v>
      </c>
      <c r="F62" s="4">
        <f t="shared" ref="F62:F71" si="27">F61+D62+E62</f>
        <v>47.809773</v>
      </c>
      <c r="G62" s="4">
        <f>$F$6*F61</f>
        <v>0.65795400000000004</v>
      </c>
      <c r="H62" s="4">
        <f>$G$6*F61</f>
        <v>0.986931</v>
      </c>
      <c r="I62" s="4">
        <f>$H$6*B62+$I$6*C62</f>
        <v>0</v>
      </c>
      <c r="J62" s="4">
        <f t="shared" ref="J62:J71" si="28">J61+I62</f>
        <v>0</v>
      </c>
      <c r="K62" s="32">
        <f t="shared" si="26"/>
        <v>0</v>
      </c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 spans="1:24" x14ac:dyDescent="0.25">
      <c r="A63" s="11" t="str">
        <f>$A$24</f>
        <v>Fall 2025</v>
      </c>
      <c r="B63" s="4">
        <f>IF(B62-D62+G62-(B62*($B$6+$H$6))+(C62*($C$6))&lt;0,0,B62-D62+G62-(B62*($B$6+$H$6))+(C62*($C$6)))</f>
        <v>52.244755200000014</v>
      </c>
      <c r="C63" s="4">
        <f>IF(C62-E62+H62-(C62*($C$6+$I$6))+(B62*($B$6))&lt;0,0,C62-E62+H62-(C62*($C$6+$I$6))+(B62*($B$6)))</f>
        <v>56.535256800000006</v>
      </c>
      <c r="D63" s="4">
        <f>$D$7*B63</f>
        <v>5.2244755200000021</v>
      </c>
      <c r="E63" s="4">
        <f>$E$7*C63</f>
        <v>8.4802885200000002</v>
      </c>
      <c r="F63" s="4">
        <f t="shared" si="27"/>
        <v>61.514537040000008</v>
      </c>
      <c r="G63" s="4">
        <f>$F$7*F62</f>
        <v>1.43429319</v>
      </c>
      <c r="H63" s="4">
        <f>$G$7*F62</f>
        <v>1.91239092</v>
      </c>
      <c r="I63" s="4">
        <f>$H$7*B63+$I$7*C63</f>
        <v>0</v>
      </c>
      <c r="J63" s="4">
        <f t="shared" si="28"/>
        <v>0</v>
      </c>
      <c r="K63" s="32">
        <f t="shared" si="26"/>
        <v>0</v>
      </c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 spans="1:24" x14ac:dyDescent="0.25">
      <c r="A64" s="11" t="str">
        <f>$A$25</f>
        <v>Spring 2025</v>
      </c>
      <c r="B64" s="4">
        <f>IF(B63-D63+G63-(B63*($B$7+$H$7))+(C63*($C$7))&lt;0,0,B63-D63+G63-(B63*($B$7+$H$7))+(C63*($C$7)))</f>
        <v>42.09180485400001</v>
      </c>
      <c r="C64" s="4">
        <f>IF(C63-E63+H63-(C63*($C$7+$I$7))+(B63*($B$7))&lt;0,0,C63-E63+H63-(C63*($C$7+$I$7))+(B63*($B$7)))</f>
        <v>56.330127216000008</v>
      </c>
      <c r="D64" s="4">
        <f>$D$8*B64</f>
        <v>4.209180485400001</v>
      </c>
      <c r="E64" s="4">
        <f>$E$8*C64</f>
        <v>8.4495190824000002</v>
      </c>
      <c r="F64" s="4">
        <f t="shared" si="27"/>
        <v>74.173236607800007</v>
      </c>
      <c r="G64" s="4">
        <f>$F$8*F63</f>
        <v>1.8454361112000002</v>
      </c>
      <c r="H64" s="4">
        <f>$G$8*F63</f>
        <v>3.0757268520000007</v>
      </c>
      <c r="I64" s="4">
        <f>$H$8*B64+$I$8*C64</f>
        <v>0</v>
      </c>
      <c r="J64" s="4">
        <f t="shared" si="28"/>
        <v>0</v>
      </c>
      <c r="K64" s="32">
        <f t="shared" si="26"/>
        <v>0</v>
      </c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 spans="1:24" x14ac:dyDescent="0.25">
      <c r="A65" s="11" t="str">
        <f>$A$26</f>
        <v>Fall 2026</v>
      </c>
      <c r="B65" s="4">
        <f>IF(B64-D64+G64-(B64*($B$8+$H$8))+(C64*($C$8))&lt;0,0,B64-D64+G64-(B64*($B$8+$H$8))+(C64*($C$8)))</f>
        <v>35.259040036440005</v>
      </c>
      <c r="C65" s="4">
        <f>IF(C64-E64+H64-(C64*($C$8+$I$8))+(B64*($B$8))&lt;0,0,C64-E64+H64-(C64*($C$8+$I$8))+(B64*($B$8)))</f>
        <v>55.425355428960003</v>
      </c>
      <c r="D65" s="4">
        <f>$D$9*B65</f>
        <v>3.5259040036440008</v>
      </c>
      <c r="E65" s="4">
        <f>$E$9*C65</f>
        <v>8.3138033143439998</v>
      </c>
      <c r="F65" s="4">
        <f t="shared" si="27"/>
        <v>86.012943925788008</v>
      </c>
      <c r="G65" s="4">
        <f>$F$9*F64</f>
        <v>2.2251970982340001</v>
      </c>
      <c r="H65" s="4">
        <f>$G$9*F64</f>
        <v>3.7086618303900005</v>
      </c>
      <c r="I65" s="4">
        <f>$H$9*B65+$I$9*C65</f>
        <v>0</v>
      </c>
      <c r="J65" s="4">
        <f t="shared" si="28"/>
        <v>0</v>
      </c>
      <c r="K65" s="32">
        <f t="shared" si="26"/>
        <v>0</v>
      </c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</row>
    <row r="66" spans="1:24" x14ac:dyDescent="0.25">
      <c r="A66" s="11" t="str">
        <f>$A$27</f>
        <v>Spring 2026</v>
      </c>
      <c r="B66" s="4">
        <f>IF(B65-D65+G65-(B65*($B$9+$H$9))+(C65*($C$9))&lt;0,0,B65-D65+G65-(B65*($B$9+$H$9))+(C65*($C$9)))</f>
        <v>30.686108664816</v>
      </c>
      <c r="C66" s="4">
        <f>IF(C65-E65+H65-(C65*($C$9+$I$9))+(B65*($B$9))&lt;0,0,C65-E65+H65-(C65*($C$9+$I$9))+(B65*($B$9)))</f>
        <v>54.092438411220002</v>
      </c>
      <c r="D66" s="4">
        <f>$D$10*B66</f>
        <v>3.0686108664816003</v>
      </c>
      <c r="E66" s="4">
        <f>$E$10*C66</f>
        <v>8.1138657616829999</v>
      </c>
      <c r="F66" s="4">
        <f t="shared" si="27"/>
        <v>97.195420553952616</v>
      </c>
      <c r="G66" s="4">
        <f>$F$10*F65</f>
        <v>2.58038831777364</v>
      </c>
      <c r="H66" s="4">
        <f>$G$10*F65</f>
        <v>4.3006471962894004</v>
      </c>
      <c r="I66" s="4">
        <f>$H$10*B66+$I$10*C66</f>
        <v>0.30686108664816003</v>
      </c>
      <c r="J66" s="4">
        <f t="shared" si="28"/>
        <v>0.30686108664816003</v>
      </c>
      <c r="K66" s="32">
        <f t="shared" si="26"/>
        <v>3.6195605755421014E-3</v>
      </c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</row>
    <row r="67" spans="1:24" x14ac:dyDescent="0.25">
      <c r="A67" s="11" t="str">
        <f>$A$28</f>
        <v>Fall 2027</v>
      </c>
      <c r="B67" s="4">
        <f>IF(B66-D66+G66-(B66*($B$10+$H$10))+(C66*($C$10))&lt;0,0,B66-D66+G66-(B66*($B$10+$H$10))+(C66*($C$10)))</f>
        <v>27.321880617729718</v>
      </c>
      <c r="C67" s="4">
        <f>IF(C66-E66+H66-(C66*($C$10+$I$10))+(B66*($B$10))&lt;0,0,C66-E66+H66-(C66*($C$10+$I$10))+(B66*($B$10)))</f>
        <v>52.848364257556568</v>
      </c>
      <c r="D67" s="4">
        <f>$D$11*B67</f>
        <v>2.7321880617729719</v>
      </c>
      <c r="E67" s="4">
        <f>$E$11*C67</f>
        <v>7.9272546386334852</v>
      </c>
      <c r="F67" s="4">
        <f t="shared" si="27"/>
        <v>107.85486325435907</v>
      </c>
      <c r="G67" s="4">
        <f>$F$11*F66</f>
        <v>2.9158626166185782</v>
      </c>
      <c r="H67" s="4">
        <f>$G$11*F66</f>
        <v>4.8597710276976311</v>
      </c>
      <c r="I67" s="4">
        <f>$H$11*B67+$I$11*C67</f>
        <v>0.54643761235459443</v>
      </c>
      <c r="J67" s="4">
        <f t="shared" si="28"/>
        <v>0.85329869900275446</v>
      </c>
      <c r="K67" s="32">
        <f t="shared" si="26"/>
        <v>1.0643583543123204E-2</v>
      </c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</row>
    <row r="68" spans="1:24" x14ac:dyDescent="0.25">
      <c r="A68" s="11" t="str">
        <f>$A$29</f>
        <v>Spring 2027</v>
      </c>
      <c r="B68" s="4">
        <f>IF(B67-D67+G67-(B67*($B$11+$H$11))+(C67*($C$11))&lt;0,0,B67-D67+G67-(B67*($B$11+$H$11))+(C67*($C$11)))</f>
        <v>24.867046219189362</v>
      </c>
      <c r="C68" s="4">
        <f>IF(C67-E67+H67-(C67*($C$11+$I$11))+(B67*($B$11))&lt;0,0,C67-E67+H67-(C67*($C$11+$I$11))+(B67*($B$11)))</f>
        <v>51.872951987652087</v>
      </c>
      <c r="D68" s="4">
        <f>$D$12*B68</f>
        <v>2.4867046219189364</v>
      </c>
      <c r="E68" s="4">
        <f>$E$12*C68</f>
        <v>7.7809427981478123</v>
      </c>
      <c r="F68" s="4">
        <f t="shared" si="27"/>
        <v>118.12251067442583</v>
      </c>
      <c r="G68" s="4">
        <f>$F$12*F67</f>
        <v>3.2356458976307723</v>
      </c>
      <c r="H68" s="4">
        <f>$G$12*F67</f>
        <v>5.3927431627179541</v>
      </c>
      <c r="I68" s="4">
        <f>$H$12*B68+$I$12*C68</f>
        <v>3.7300569328784041</v>
      </c>
      <c r="J68" s="4">
        <f t="shared" si="28"/>
        <v>4.5833556318811581</v>
      </c>
      <c r="K68" s="32">
        <f t="shared" si="26"/>
        <v>5.9725771943952788E-2</v>
      </c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 spans="1:24" x14ac:dyDescent="0.25">
      <c r="A69" s="105"/>
      <c r="B69" s="4">
        <f>IF(B68-D68+G68-(B68*($B$12+$H$12))+(C68*($C$12))&lt;0,0,B68-D68+G68-(B68*($B$12+$H$12))+(C68*($C$12)))</f>
        <v>20.110452819414981</v>
      </c>
      <c r="C69" s="4">
        <f>IF(C68-E68+H68-(C68*($C$12+$I$12))+(B68*($B$12))&lt;0,0,C68-E68+H68-(C68*($C$12+$I$12))+(B68*($B$12)))</f>
        <v>51.260230094830042</v>
      </c>
      <c r="D69" s="4">
        <f>$D$13*B69</f>
        <v>2.0110452819414983</v>
      </c>
      <c r="E69" s="4">
        <f>$E$13*C69</f>
        <v>7.689034514224506</v>
      </c>
      <c r="F69" s="4">
        <f t="shared" si="27"/>
        <v>127.82259047059182</v>
      </c>
      <c r="G69" s="4">
        <f>$F$13*F68</f>
        <v>3.5436753202327744</v>
      </c>
      <c r="H69" s="4">
        <f>$G$13*F68</f>
        <v>5.9061255337212915</v>
      </c>
      <c r="I69" s="4">
        <f>$H$13*B69+$I$13*C69</f>
        <v>3.0165679229122468</v>
      </c>
      <c r="J69" s="4">
        <f t="shared" si="28"/>
        <v>7.5999235547934045</v>
      </c>
      <c r="K69" s="32">
        <f t="shared" si="26"/>
        <v>0.10648522957143401</v>
      </c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</row>
    <row r="70" spans="1:24" x14ac:dyDescent="0.25">
      <c r="A70" s="105"/>
      <c r="B70" s="4">
        <f>IF(B69-D69+G69-(B69*($B$13+$H$13))+(C69*($C$13))&lt;0,0,B69-D69+G69-(B69*($B$13+$H$13))+(C69*($C$13)))</f>
        <v>17.92050662664667</v>
      </c>
      <c r="C70" s="4">
        <f>IF(C69-E69+H69-(C69*($C$13+$I$13))+(B69*($B$13))&lt;0,0,C69-E69+H69-(C69*($C$13+$I$13))+(B69*($B$13)))</f>
        <v>50.183329422474166</v>
      </c>
      <c r="D70" s="4">
        <f>$D$14*B70</f>
        <v>1.7920506626646671</v>
      </c>
      <c r="E70" s="4">
        <f>$E$14*C70</f>
        <v>7.5274994133711246</v>
      </c>
      <c r="F70" s="4">
        <f t="shared" si="27"/>
        <v>137.14214054662762</v>
      </c>
      <c r="G70" s="4">
        <f>$F$14*F69</f>
        <v>3.8346777141177544</v>
      </c>
      <c r="H70" s="4">
        <f>$G$14*F69</f>
        <v>6.3911295235295915</v>
      </c>
      <c r="I70" s="4">
        <f>$H$14*B70+$I$14*C70</f>
        <v>4.1935758766712254</v>
      </c>
      <c r="J70" s="4">
        <f t="shared" si="28"/>
        <v>11.79349943146463</v>
      </c>
      <c r="K70" s="32">
        <f t="shared" si="26"/>
        <v>0.17316938539201232</v>
      </c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</row>
    <row r="71" spans="1:24" x14ac:dyDescent="0.25">
      <c r="A71" s="105"/>
      <c r="B71" s="4">
        <f>IF(B70-D70+G70-(B70*($B$13+$H$13))+(C70*($C$13))&lt;0,0,B70-D70+G70-(B70*($B$13+$H$13))+(C70*($C$13)))</f>
        <v>17.096443704622644</v>
      </c>
      <c r="C71" s="4">
        <f>IF(C70-E70+H70-(C70*($C$14+$I$14))+(B70*($B$14))&lt;0,0,C70-E70+H70-(C70*($C$14+$I$14))+(B70*($B$14)))</f>
        <v>47.899278695704993</v>
      </c>
      <c r="D71" s="4">
        <f>$D$15*B71</f>
        <v>1.7096443704622644</v>
      </c>
      <c r="E71" s="4">
        <f>$E$15*C71</f>
        <v>7.1848918043557486</v>
      </c>
      <c r="F71" s="4">
        <f t="shared" si="27"/>
        <v>146.03667672144562</v>
      </c>
      <c r="G71" s="4">
        <f>$F$15*F70</f>
        <v>4.1142642163988281</v>
      </c>
      <c r="H71" s="4">
        <f>$G$15*F70</f>
        <v>6.8571070273313808</v>
      </c>
      <c r="I71" s="4">
        <f>$H$15*B71+$I$15*C71</f>
        <v>4.4804377035215968</v>
      </c>
      <c r="J71" s="4">
        <f t="shared" si="28"/>
        <v>16.273937134986227</v>
      </c>
      <c r="K71" s="32">
        <f t="shared" si="26"/>
        <v>0.25038474124112808</v>
      </c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</row>
    <row r="72" spans="1:24" x14ac:dyDescent="0.25">
      <c r="A72" s="105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9" t="s">
        <v>129</v>
      </c>
      <c r="M72" s="8"/>
      <c r="N72" s="9" t="str">
        <f>"Coninuing Since  "&amp;$A$18</f>
        <v>Coninuing Since  New Fall 2022</v>
      </c>
      <c r="O72" s="8"/>
      <c r="P72" s="8"/>
      <c r="Q72" s="11" t="s">
        <v>130</v>
      </c>
      <c r="R72" s="13"/>
      <c r="S72" s="13"/>
      <c r="T72" s="13"/>
      <c r="U72" s="13"/>
      <c r="V72" s="13"/>
      <c r="W72" s="13"/>
      <c r="X72" s="13"/>
    </row>
    <row r="73" spans="1:24" x14ac:dyDescent="0.25">
      <c r="A73" s="11" t="str">
        <f>$A$17</f>
        <v>Semester</v>
      </c>
      <c r="B73" s="12" t="s">
        <v>85</v>
      </c>
      <c r="C73" s="12" t="s">
        <v>86</v>
      </c>
      <c r="D73" s="12" t="s">
        <v>96</v>
      </c>
      <c r="E73" s="12" t="s">
        <v>95</v>
      </c>
      <c r="F73" s="12" t="s">
        <v>87</v>
      </c>
      <c r="G73" s="12" t="s">
        <v>97</v>
      </c>
      <c r="H73" s="12" t="s">
        <v>98</v>
      </c>
      <c r="I73" s="12" t="s">
        <v>84</v>
      </c>
      <c r="J73" s="12" t="s">
        <v>88</v>
      </c>
      <c r="K73" s="12" t="s">
        <v>99</v>
      </c>
      <c r="L73" s="12" t="s">
        <v>103</v>
      </c>
      <c r="M73" s="12" t="s">
        <v>104</v>
      </c>
      <c r="N73" s="12" t="s">
        <v>103</v>
      </c>
      <c r="O73" s="12" t="s">
        <v>104</v>
      </c>
      <c r="P73" s="12" t="s">
        <v>103</v>
      </c>
      <c r="Q73" s="12" t="s">
        <v>104</v>
      </c>
      <c r="R73" s="13"/>
      <c r="S73" s="13"/>
      <c r="T73" s="13"/>
      <c r="U73" s="13"/>
      <c r="V73" s="13"/>
      <c r="W73" s="13"/>
      <c r="X73" s="13"/>
    </row>
    <row r="74" spans="1:24" x14ac:dyDescent="0.25">
      <c r="A74" s="11" t="str">
        <f>"New "&amp;$A$22</f>
        <v>New Fall 2024</v>
      </c>
      <c r="B74" s="97">
        <f>Enrollment!E3</f>
        <v>313.63200000000001</v>
      </c>
      <c r="C74" s="97">
        <f>Enrollment!E7</f>
        <v>68.606999999999999</v>
      </c>
      <c r="D74" s="4">
        <f>$D$4*B74</f>
        <v>31.363200000000003</v>
      </c>
      <c r="E74" s="4">
        <f>$E$4*C74</f>
        <v>10.29105</v>
      </c>
      <c r="F74" s="4">
        <f>D74+E74</f>
        <v>41.654250000000005</v>
      </c>
      <c r="G74" s="4">
        <v>0</v>
      </c>
      <c r="H74" s="4">
        <v>0</v>
      </c>
      <c r="I74" s="4">
        <f>$H$4*B74+$I$4*C74</f>
        <v>0</v>
      </c>
      <c r="J74" s="4">
        <f>I74</f>
        <v>0</v>
      </c>
      <c r="K74" s="32">
        <f>J74/(B74+C74)</f>
        <v>0</v>
      </c>
      <c r="L74" s="4">
        <f>L180</f>
        <v>458.87136695281771</v>
      </c>
      <c r="M74" s="4">
        <f>M180</f>
        <v>965.06509338534033</v>
      </c>
      <c r="N74" s="6">
        <f>B61+B48+B35+B22</f>
        <v>420.29126650000001</v>
      </c>
      <c r="O74" s="6">
        <f>C61+C48+C35+C22</f>
        <v>380.85576600000002</v>
      </c>
      <c r="P74" s="6">
        <f>L74+N74</f>
        <v>879.16263345281777</v>
      </c>
      <c r="Q74" s="6">
        <f>M74+O74</f>
        <v>1345.9208593853405</v>
      </c>
      <c r="R74" s="13"/>
      <c r="S74" s="13"/>
      <c r="T74" s="13"/>
      <c r="U74" s="13"/>
      <c r="V74" s="13"/>
      <c r="W74" s="13"/>
      <c r="X74" s="13"/>
    </row>
    <row r="75" spans="1:24" x14ac:dyDescent="0.25">
      <c r="A75" s="11" t="str">
        <f>$A$23</f>
        <v>Spring 2024</v>
      </c>
      <c r="B75" s="4">
        <f>IF(B74-D74+G74-(B74*($B$4+$H$4))+(C74*($C$4))&lt;0,0,B74-D74+G74-(B74*($B$4+$H$4))+(C74*($C$4)))</f>
        <v>226.40309999999999</v>
      </c>
      <c r="C75" s="4">
        <f>IF(C74-E74+H74-(C74*($C$4+$I$4))+(B74*($B$4))&lt;0,0,C74-E74+H74-(C74*($C$4+$I$4))+(B74*($B$4)))</f>
        <v>114.18165</v>
      </c>
      <c r="D75" s="4">
        <f>$D$5*B75</f>
        <v>22.640309999999999</v>
      </c>
      <c r="E75" s="4">
        <f>$E$5*C75</f>
        <v>17.127247499999999</v>
      </c>
      <c r="F75" s="4">
        <f>F74+D75+E75</f>
        <v>81.4218075</v>
      </c>
      <c r="G75" s="4">
        <f>$F$5*F74</f>
        <v>0.41654250000000004</v>
      </c>
      <c r="H75" s="4">
        <f>$G$5*F74</f>
        <v>0.83308500000000008</v>
      </c>
      <c r="I75" s="4">
        <f>$H$5*B75+$I$5*C75</f>
        <v>0</v>
      </c>
      <c r="J75" s="4">
        <f>J74+I75</f>
        <v>0</v>
      </c>
      <c r="K75" s="32">
        <f t="shared" ref="K75:K85" si="29">J75/(B75+C75)</f>
        <v>0</v>
      </c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</row>
    <row r="76" spans="1:24" x14ac:dyDescent="0.25">
      <c r="A76" s="11" t="str">
        <f>$A$24</f>
        <v>Fall 2025</v>
      </c>
      <c r="B76" s="4">
        <f>IF(B75-D75+G75-(B75*($B$5+$H$5))+(C75*($C$5))&lt;0,0,B75-D75+G75-(B75*($B$5+$H$5))+(C75*($C$5)))</f>
        <v>168.05284649999999</v>
      </c>
      <c r="C76" s="4">
        <f>IF(C75-E75+H75-(C75*($C$5+$I$5))+(B75*($B$5))&lt;0,0,C75-E75+H75-(C75*($C$5+$I$5))+(B75*($B$5)))</f>
        <v>134.01397349999999</v>
      </c>
      <c r="D76" s="4">
        <f>$D$6*B76</f>
        <v>16.805284650000001</v>
      </c>
      <c r="E76" s="4">
        <f>$E$6*C76</f>
        <v>20.102096024999998</v>
      </c>
      <c r="F76" s="4">
        <f t="shared" ref="F76:F85" si="30">F75+D76+E76</f>
        <v>118.329188175</v>
      </c>
      <c r="G76" s="4">
        <f>$F$6*F75</f>
        <v>1.62843615</v>
      </c>
      <c r="H76" s="4">
        <f>$G$6*F75</f>
        <v>2.4426542250000001</v>
      </c>
      <c r="I76" s="4">
        <f>$H$6*B76+$I$6*C76</f>
        <v>0</v>
      </c>
      <c r="J76" s="4">
        <f t="shared" ref="J76:J85" si="31">J75+I76</f>
        <v>0</v>
      </c>
      <c r="K76" s="32">
        <f t="shared" si="29"/>
        <v>0</v>
      </c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</row>
    <row r="77" spans="1:24" x14ac:dyDescent="0.25">
      <c r="A77" s="11" t="str">
        <f>$A$25</f>
        <v>Spring 2025</v>
      </c>
      <c r="B77" s="4">
        <f>IF(B76-D76+G76-(B76*($B$6+$H$6))+(C76*($C$6))&lt;0,0,B76-D76+G76-(B76*($B$6+$H$6))+(C76*($C$6)))</f>
        <v>129.30576911999998</v>
      </c>
      <c r="C77" s="4">
        <f>IF(C76-E76+H76-(C76*($C$6+$I$6))+(B76*($B$6))&lt;0,0,C76-E76+H76-(C76*($C$6+$I$6))+(B76*($B$6)))</f>
        <v>139.92476058</v>
      </c>
      <c r="D77" s="4">
        <f>$D$7*B77</f>
        <v>12.930576911999999</v>
      </c>
      <c r="E77" s="4">
        <f>$E$7*C77</f>
        <v>20.988714086999998</v>
      </c>
      <c r="F77" s="4">
        <f t="shared" si="30"/>
        <v>152.24847917400001</v>
      </c>
      <c r="G77" s="4">
        <f>$F$7*F76</f>
        <v>3.5498756452499998</v>
      </c>
      <c r="H77" s="4">
        <f>$G$7*F76</f>
        <v>4.733167527</v>
      </c>
      <c r="I77" s="4">
        <f>$H$7*B77+$I$7*C77</f>
        <v>0</v>
      </c>
      <c r="J77" s="4">
        <f t="shared" si="31"/>
        <v>0</v>
      </c>
      <c r="K77" s="32">
        <f t="shared" si="29"/>
        <v>0</v>
      </c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</row>
    <row r="78" spans="1:24" x14ac:dyDescent="0.25">
      <c r="A78" s="11" t="str">
        <f>$A$26</f>
        <v>Fall 2026</v>
      </c>
      <c r="B78" s="4">
        <f>IF(B77-D77+G77-(B77*($B$7+$H$7))+(C77*($C$7))&lt;0,0,B77-D77+G77-(B77*($B$7+$H$7))+(C77*($C$7)))</f>
        <v>104.17721701364999</v>
      </c>
      <c r="C78" s="4">
        <f>IF(C77-E77+H77-(C77*($C$7+$I$7))+(B77*($B$7))&lt;0,0,C77-E77+H77-(C77*($C$7+$I$7))+(B77*($B$7)))</f>
        <v>139.4170648596</v>
      </c>
      <c r="D78" s="4">
        <f>$D$8*B78</f>
        <v>10.417721701365</v>
      </c>
      <c r="E78" s="4">
        <f>$E$8*C78</f>
        <v>20.91255972894</v>
      </c>
      <c r="F78" s="4">
        <f t="shared" si="30"/>
        <v>183.57876060430502</v>
      </c>
      <c r="G78" s="4">
        <f>$F$8*F77</f>
        <v>4.5674543752200005</v>
      </c>
      <c r="H78" s="4">
        <f>$G$8*F77</f>
        <v>7.6124239587000009</v>
      </c>
      <c r="I78" s="4">
        <f>$H$8*B78+$I$8*C78</f>
        <v>0</v>
      </c>
      <c r="J78" s="4">
        <f t="shared" si="31"/>
        <v>0</v>
      </c>
      <c r="K78" s="32">
        <f t="shared" si="29"/>
        <v>0</v>
      </c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</row>
    <row r="79" spans="1:24" x14ac:dyDescent="0.25">
      <c r="A79" s="11" t="str">
        <f>$A$27</f>
        <v>Spring 2026</v>
      </c>
      <c r="B79" s="4">
        <f>IF(B78-D78+G78-(B78*($B$8+$H$8))+(C78*($C$8))&lt;0,0,B78-D78+G78-(B78*($B$8+$H$8))+(C78*($C$8)))</f>
        <v>87.266124090188995</v>
      </c>
      <c r="C79" s="4">
        <f>IF(C78-E78+H78-(C78*($C$8+$I$8))+(B78*($B$8))&lt;0,0,C78-E78+H78-(C78*($C$8+$I$8))+(B78*($B$8)))</f>
        <v>137.17775468667602</v>
      </c>
      <c r="D79" s="4">
        <f>$D$9*B79</f>
        <v>8.7266124090188999</v>
      </c>
      <c r="E79" s="4">
        <f>$E$9*C79</f>
        <v>20.576663203001402</v>
      </c>
      <c r="F79" s="4">
        <f t="shared" si="30"/>
        <v>212.88203621632533</v>
      </c>
      <c r="G79" s="4">
        <f>$F$9*F78</f>
        <v>5.5073628181291507</v>
      </c>
      <c r="H79" s="4">
        <f>$G$9*F78</f>
        <v>9.1789380302152512</v>
      </c>
      <c r="I79" s="4">
        <f>$H$9*B79+$I$9*C79</f>
        <v>0</v>
      </c>
      <c r="J79" s="4">
        <f t="shared" si="31"/>
        <v>0</v>
      </c>
      <c r="K79" s="32">
        <f t="shared" si="29"/>
        <v>0</v>
      </c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</row>
    <row r="80" spans="1:24" x14ac:dyDescent="0.25">
      <c r="A80" s="11" t="str">
        <f>$A$28</f>
        <v>Fall 2027</v>
      </c>
      <c r="B80" s="4">
        <f>IF(B79-D79+G79-(B79*($B$9+$H$9))+(C79*($C$9))&lt;0,0,B79-D79+G79-(B79*($B$9+$H$9))+(C79*($C$9)))</f>
        <v>75.948118945419594</v>
      </c>
      <c r="C80" s="4">
        <f>IF(C79-E79+H79-(C79*($C$9+$I$9))+(B79*($B$9))&lt;0,0,C79-E79+H79-(C79*($C$9+$I$9))+(B79*($B$9)))</f>
        <v>133.87878506776951</v>
      </c>
      <c r="D80" s="4">
        <f>$D$10*B80</f>
        <v>7.5948118945419596</v>
      </c>
      <c r="E80" s="4">
        <f>$E$10*C80</f>
        <v>20.081817760165425</v>
      </c>
      <c r="F80" s="4">
        <f t="shared" si="30"/>
        <v>240.5586658710327</v>
      </c>
      <c r="G80" s="4">
        <f>$F$10*F79</f>
        <v>6.38646108648976</v>
      </c>
      <c r="H80" s="4">
        <f>$G$10*F79</f>
        <v>10.644101810816267</v>
      </c>
      <c r="I80" s="4">
        <f>$H$10*B80+$I$10*C80</f>
        <v>0.75948118945419596</v>
      </c>
      <c r="J80" s="4">
        <f t="shared" si="31"/>
        <v>0.75948118945419596</v>
      </c>
      <c r="K80" s="32">
        <f t="shared" si="29"/>
        <v>3.6195605755421009E-3</v>
      </c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</row>
    <row r="81" spans="1:24" x14ac:dyDescent="0.25">
      <c r="A81" s="11" t="str">
        <f>$A$29</f>
        <v>Spring 2027</v>
      </c>
      <c r="B81" s="4">
        <f>IF(B80-D80+G80-(B80*($B$10+$H$10))+(C80*($C$10))&lt;0,0,B80-D80+G80-(B80*($B$10+$H$10))+(C80*($C$10)))</f>
        <v>67.621654528881052</v>
      </c>
      <c r="C81" s="4">
        <f>IF(C80-E80+H80-(C80*($C$10+$I$10))+(B80*($B$10))&lt;0,0,C80-E80+H80-(C80*($C$10+$I$10))+(B80*($B$10)))</f>
        <v>130.79970153745251</v>
      </c>
      <c r="D81" s="4">
        <f>$D$11*B81</f>
        <v>6.7621654528881052</v>
      </c>
      <c r="E81" s="4">
        <f>$E$11*C81</f>
        <v>19.619955230617876</v>
      </c>
      <c r="F81" s="4">
        <f t="shared" si="30"/>
        <v>266.9407865545387</v>
      </c>
      <c r="G81" s="4">
        <f>$F$11*F80</f>
        <v>7.2167599761309811</v>
      </c>
      <c r="H81" s="4">
        <f>$G$11*F80</f>
        <v>12.027933293551635</v>
      </c>
      <c r="I81" s="4">
        <f>$H$11*B81+$I$11*C81</f>
        <v>1.3524330905776212</v>
      </c>
      <c r="J81" s="4">
        <f t="shared" si="31"/>
        <v>2.1119142800318169</v>
      </c>
      <c r="K81" s="32">
        <f t="shared" si="29"/>
        <v>1.0643583543123203E-2</v>
      </c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</row>
    <row r="82" spans="1:24" x14ac:dyDescent="0.25">
      <c r="A82" s="105"/>
      <c r="B82" s="4">
        <f>IF(B81-D81+G81-(B81*($B$11+$H$11))+(C81*($C$11))&lt;0,0,B81-D81+G81-(B81*($B$11+$H$11))+(C81*($C$11)))</f>
        <v>61.545939392493672</v>
      </c>
      <c r="C82" s="4">
        <f>IF(C81-E81+H81-(C81*($C$11+$I$11))+(B81*($B$11))&lt;0,0,C81-E81+H81-(C81*($C$11+$I$11))+(B81*($B$11)))</f>
        <v>128.3855561694389</v>
      </c>
      <c r="D82" s="4">
        <f>$D$12*B82</f>
        <v>6.1545939392493674</v>
      </c>
      <c r="E82" s="4">
        <f>$E$12*C82</f>
        <v>19.257833425415836</v>
      </c>
      <c r="F82" s="4">
        <f t="shared" si="30"/>
        <v>292.35321391920388</v>
      </c>
      <c r="G82" s="4">
        <f>$F$12*F81</f>
        <v>8.0082235966361601</v>
      </c>
      <c r="H82" s="4">
        <f>$G$12*F81</f>
        <v>13.347039327726936</v>
      </c>
      <c r="I82" s="4">
        <f>$H$12*B82+$I$12*C82</f>
        <v>9.2318909088740497</v>
      </c>
      <c r="J82" s="4">
        <f t="shared" si="31"/>
        <v>11.343805188905867</v>
      </c>
      <c r="K82" s="32">
        <f t="shared" si="29"/>
        <v>5.9725771943952795E-2</v>
      </c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</row>
    <row r="83" spans="1:24" x14ac:dyDescent="0.25">
      <c r="A83" s="105"/>
      <c r="B83" s="4">
        <f>IF(B82-D82+G82-(B82*($B$12+$H$12))+(C82*($C$12))&lt;0,0,B82-D82+G82-(B82*($B$12+$H$12))+(C82*($C$12)))</f>
        <v>49.773370728052079</v>
      </c>
      <c r="C83" s="4">
        <f>IF(C82-E82+H82-(C82*($C$12+$I$12))+(B82*($B$12))&lt;0,0,C82-E82+H82-(C82*($C$12+$I$12))+(B82*($B$12)))</f>
        <v>126.86906948470433</v>
      </c>
      <c r="D83" s="4">
        <f>$D$13*B83</f>
        <v>4.9773370728052084</v>
      </c>
      <c r="E83" s="4">
        <f>$E$13*C83</f>
        <v>19.030360422705648</v>
      </c>
      <c r="F83" s="4">
        <f t="shared" si="30"/>
        <v>316.36091141471474</v>
      </c>
      <c r="G83" s="4">
        <f>$F$13*F82</f>
        <v>8.7705964175761153</v>
      </c>
      <c r="H83" s="4">
        <f>$G$13*F82</f>
        <v>14.617660695960195</v>
      </c>
      <c r="I83" s="4">
        <f>$H$13*B83+$I$13*C83</f>
        <v>7.4660056092078113</v>
      </c>
      <c r="J83" s="4">
        <f t="shared" si="31"/>
        <v>18.809810798113677</v>
      </c>
      <c r="K83" s="32">
        <f t="shared" si="29"/>
        <v>0.10648522957143403</v>
      </c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 spans="1:24" x14ac:dyDescent="0.25">
      <c r="A84" s="105"/>
      <c r="B84" s="4">
        <f>IF(B83-D83+G83-(B83*($B$13+$H$13))+(C83*($C$13))&lt;0,0,B83-D83+G83-(B83*($B$13+$H$13))+(C83*($C$13)))</f>
        <v>44.353253900950506</v>
      </c>
      <c r="C84" s="4">
        <f>IF(C83-E83+H83-(C83*($C$13+$I$13))+(B83*($B$13))&lt;0,0,C83-E83+H83-(C83*($C$13+$I$13))+(B83*($B$13)))</f>
        <v>124.20374032062355</v>
      </c>
      <c r="D84" s="4">
        <f>$D$14*B84</f>
        <v>4.4353253900950511</v>
      </c>
      <c r="E84" s="4">
        <f>$E$14*C84</f>
        <v>18.630561048093533</v>
      </c>
      <c r="F84" s="4">
        <f t="shared" si="30"/>
        <v>339.42679785290329</v>
      </c>
      <c r="G84" s="4">
        <f>$F$14*F83</f>
        <v>9.4908273424414418</v>
      </c>
      <c r="H84" s="4">
        <f>$G$14*F83</f>
        <v>15.818045570735737</v>
      </c>
      <c r="I84" s="4">
        <f>$H$14*B84+$I$14*C84</f>
        <v>10.379100294761281</v>
      </c>
      <c r="J84" s="4">
        <f t="shared" si="31"/>
        <v>29.18891109287496</v>
      </c>
      <c r="K84" s="32">
        <f t="shared" si="29"/>
        <v>0.17316938539201238</v>
      </c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</row>
    <row r="85" spans="1:24" x14ac:dyDescent="0.25">
      <c r="A85" s="105"/>
      <c r="B85" s="4">
        <f>IF(B84-D84+G84-(B84*($B$13+$H$13))+(C84*($C$13))&lt;0,0,B84-D84+G84-(B84*($B$13+$H$13))+(C84*($C$13)))</f>
        <v>42.313698168941031</v>
      </c>
      <c r="C85" s="4">
        <f>IF(C84-E84+H84-(C84*($C$14+$I$14))+(B84*($B$14))&lt;0,0,C84-E84+H84-(C84*($C$14+$I$14))+(B84*($B$14)))</f>
        <v>118.55071477186983</v>
      </c>
      <c r="D85" s="4">
        <f>$D$15*B85</f>
        <v>4.2313698168941034</v>
      </c>
      <c r="E85" s="4">
        <f>$E$15*C85</f>
        <v>17.782607215780473</v>
      </c>
      <c r="F85" s="4">
        <f t="shared" si="30"/>
        <v>361.44077488557787</v>
      </c>
      <c r="G85" s="4">
        <f>$F$15*F84</f>
        <v>10.182803935587099</v>
      </c>
      <c r="H85" s="4">
        <f>$G$15*F84</f>
        <v>16.971339892645165</v>
      </c>
      <c r="I85" s="4">
        <f>$H$15*B85+$I$15*C85</f>
        <v>11.089083316215948</v>
      </c>
      <c r="J85" s="4">
        <f t="shared" si="31"/>
        <v>40.277994409090908</v>
      </c>
      <c r="K85" s="32">
        <f t="shared" si="29"/>
        <v>0.25038474124112808</v>
      </c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</row>
    <row r="86" spans="1:24" x14ac:dyDescent="0.25">
      <c r="A86" s="105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9" t="s">
        <v>129</v>
      </c>
      <c r="M86" s="8"/>
      <c r="N86" s="9" t="str">
        <f>"Coninuing Since  "&amp;$A$18</f>
        <v>Coninuing Since  New Fall 2022</v>
      </c>
      <c r="O86" s="8"/>
      <c r="P86" s="8"/>
      <c r="Q86" s="11" t="s">
        <v>130</v>
      </c>
      <c r="R86" s="13"/>
      <c r="S86" s="13"/>
      <c r="T86" s="13"/>
      <c r="U86" s="13"/>
      <c r="V86" s="13"/>
      <c r="W86" s="13"/>
      <c r="X86" s="13"/>
    </row>
    <row r="87" spans="1:24" x14ac:dyDescent="0.25">
      <c r="A87" s="11" t="str">
        <f>$A$17</f>
        <v>Semester</v>
      </c>
      <c r="B87" s="12" t="s">
        <v>85</v>
      </c>
      <c r="C87" s="12" t="s">
        <v>86</v>
      </c>
      <c r="D87" s="12" t="s">
        <v>96</v>
      </c>
      <c r="E87" s="12" t="s">
        <v>95</v>
      </c>
      <c r="F87" s="12" t="s">
        <v>87</v>
      </c>
      <c r="G87" s="12" t="s">
        <v>97</v>
      </c>
      <c r="H87" s="12" t="s">
        <v>98</v>
      </c>
      <c r="I87" s="12" t="s">
        <v>84</v>
      </c>
      <c r="J87" s="12" t="s">
        <v>88</v>
      </c>
      <c r="K87" s="12" t="s">
        <v>99</v>
      </c>
      <c r="L87" s="12" t="s">
        <v>103</v>
      </c>
      <c r="M87" s="12" t="s">
        <v>104</v>
      </c>
      <c r="N87" s="12" t="s">
        <v>103</v>
      </c>
      <c r="O87" s="12" t="s">
        <v>104</v>
      </c>
      <c r="P87" s="12" t="s">
        <v>103</v>
      </c>
      <c r="Q87" s="12" t="s">
        <v>104</v>
      </c>
      <c r="R87" s="13"/>
      <c r="S87" s="13"/>
      <c r="T87" s="13"/>
      <c r="U87" s="13"/>
      <c r="V87" s="13"/>
      <c r="W87" s="13"/>
      <c r="X87" s="13"/>
    </row>
    <row r="88" spans="1:24" x14ac:dyDescent="0.25">
      <c r="A88" s="11" t="str">
        <f>"New "&amp;$A$23</f>
        <v>New Spring 2024</v>
      </c>
      <c r="B88" s="97">
        <f>Enrollment!E4</f>
        <v>125.45280000000001</v>
      </c>
      <c r="C88" s="97">
        <f>Enrollment!E8</f>
        <v>27.442800000000002</v>
      </c>
      <c r="D88" s="4">
        <f>$D$4*B88</f>
        <v>12.545280000000002</v>
      </c>
      <c r="E88" s="4">
        <f>$E$4*C88</f>
        <v>4.1164199999999997</v>
      </c>
      <c r="F88" s="4">
        <f>D88+E88</f>
        <v>16.661700000000003</v>
      </c>
      <c r="G88" s="4">
        <v>0</v>
      </c>
      <c r="H88" s="4">
        <v>0</v>
      </c>
      <c r="I88" s="4">
        <f>$H$4*B88+$I$4*C88</f>
        <v>0</v>
      </c>
      <c r="J88" s="4">
        <f>I88</f>
        <v>0</v>
      </c>
      <c r="K88" s="32">
        <f>J88/(B88+C88)</f>
        <v>0</v>
      </c>
      <c r="L88" s="4">
        <f>L181</f>
        <v>365.75125954281771</v>
      </c>
      <c r="M88" s="4">
        <f>M181</f>
        <v>817.81405644534038</v>
      </c>
      <c r="N88" s="6">
        <f>B75+B62+B49+B36+B23</f>
        <v>556.47008248999998</v>
      </c>
      <c r="O88" s="6">
        <f>C75+C62+C49+C36+C23</f>
        <v>506.52898915999998</v>
      </c>
      <c r="P88" s="6">
        <f>L88+N88</f>
        <v>922.22134203281769</v>
      </c>
      <c r="Q88" s="6">
        <f>M88+O88</f>
        <v>1324.3430456053404</v>
      </c>
      <c r="R88" s="13"/>
      <c r="S88" s="13"/>
      <c r="T88" s="13"/>
      <c r="U88" s="13"/>
      <c r="V88" s="13"/>
      <c r="W88" s="13"/>
      <c r="X88" s="13"/>
    </row>
    <row r="89" spans="1:24" x14ac:dyDescent="0.25">
      <c r="A89" s="11" t="str">
        <f>$A$24</f>
        <v>Fall 2025</v>
      </c>
      <c r="B89" s="4">
        <f>IF(B88-D88+G88-(B88*($B$4+$H$4))+(C88*($C$4))&lt;0,0,B88-D88+G88-(B88*($B$4+$H$4))+(C88*($C$4)))</f>
        <v>90.561239999999998</v>
      </c>
      <c r="C89" s="4">
        <f>IF(C88-E88+H88-(C88*($C$4+$I$4))+(B88*($B$4))&lt;0,0,C88-E88+H88-(C88*($C$4+$I$4))+(B88*($B$4)))</f>
        <v>45.672660000000008</v>
      </c>
      <c r="D89" s="4">
        <f>$D$5*B89</f>
        <v>9.0561240000000005</v>
      </c>
      <c r="E89" s="4">
        <f>$E$5*C89</f>
        <v>6.850899000000001</v>
      </c>
      <c r="F89" s="4">
        <f>F88+D89+E89</f>
        <v>32.568723000000006</v>
      </c>
      <c r="G89" s="4">
        <f>$F$5*F88</f>
        <v>0.16661700000000004</v>
      </c>
      <c r="H89" s="4">
        <f>$G$5*F88</f>
        <v>0.33323400000000009</v>
      </c>
      <c r="I89" s="4">
        <f>$H$5*B89+$I$5*C89</f>
        <v>0</v>
      </c>
      <c r="J89" s="4">
        <f>J88+I89</f>
        <v>0</v>
      </c>
      <c r="K89" s="32">
        <f t="shared" ref="K89:K99" si="32">J89/(B89+C89)</f>
        <v>0</v>
      </c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 spans="1:24" x14ac:dyDescent="0.25">
      <c r="A90" s="11" t="str">
        <f>$A$25</f>
        <v>Spring 2025</v>
      </c>
      <c r="B90" s="4">
        <f>IF(B89-D89+G89-(B89*($B$5+$H$5))+(C89*($C$5))&lt;0,0,B89-D89+G89-(B89*($B$5+$H$5))+(C89*($C$5)))</f>
        <v>67.221138600000003</v>
      </c>
      <c r="C90" s="4">
        <f>IF(C89-E89+H89-(C89*($C$5+$I$5))+(B89*($B$5))&lt;0,0,C89-E89+H89-(C89*($C$5+$I$5))+(B89*($B$5)))</f>
        <v>53.6055894</v>
      </c>
      <c r="D90" s="4">
        <f>$D$6*B90</f>
        <v>6.7221138600000003</v>
      </c>
      <c r="E90" s="4">
        <f>$E$6*C90</f>
        <v>8.0408384099999992</v>
      </c>
      <c r="F90" s="4">
        <f t="shared" ref="F90:F99" si="33">F89+D90+E90</f>
        <v>47.331675270000005</v>
      </c>
      <c r="G90" s="4">
        <f>$F$6*F89</f>
        <v>0.6513744600000001</v>
      </c>
      <c r="H90" s="4">
        <f>$G$6*F89</f>
        <v>0.97706169000000009</v>
      </c>
      <c r="I90" s="4">
        <f>$H$6*B90+$I$6*C90</f>
        <v>0</v>
      </c>
      <c r="J90" s="4">
        <f t="shared" ref="J90:J99" si="34">J89+I90</f>
        <v>0</v>
      </c>
      <c r="K90" s="32">
        <f t="shared" si="32"/>
        <v>0</v>
      </c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 spans="1:24" x14ac:dyDescent="0.25">
      <c r="A91" s="11" t="str">
        <f>$A$26</f>
        <v>Fall 2026</v>
      </c>
      <c r="B91" s="4">
        <f>IF(B90-D90+G90-(B90*($B$6+$H$6))+(C90*($C$6))&lt;0,0,B90-D90+G90-(B90*($B$6+$H$6))+(C90*($C$6)))</f>
        <v>51.722307647999997</v>
      </c>
      <c r="C91" s="4">
        <f>IF(C90-E90+H90-(C90*($C$6+$I$6))+(B90*($B$6))&lt;0,0,C90-E90+H90-(C90*($C$6+$I$6))+(B90*($B$6)))</f>
        <v>55.969904232000005</v>
      </c>
      <c r="D91" s="4">
        <f>$D$7*B91</f>
        <v>5.1722307648000001</v>
      </c>
      <c r="E91" s="4">
        <f>$E$7*C91</f>
        <v>8.3954856348</v>
      </c>
      <c r="F91" s="4">
        <f t="shared" si="33"/>
        <v>60.899391669600007</v>
      </c>
      <c r="G91" s="4">
        <f>$F$7*F90</f>
        <v>1.4199502581000001</v>
      </c>
      <c r="H91" s="4">
        <f>$G$7*F90</f>
        <v>1.8932670108000003</v>
      </c>
      <c r="I91" s="4">
        <f>$H$7*B91+$I$7*C91</f>
        <v>0</v>
      </c>
      <c r="J91" s="4">
        <f t="shared" si="34"/>
        <v>0</v>
      </c>
      <c r="K91" s="32">
        <f t="shared" si="32"/>
        <v>0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</row>
    <row r="92" spans="1:24" x14ac:dyDescent="0.25">
      <c r="A92" s="11" t="str">
        <f>$A$27</f>
        <v>Spring 2026</v>
      </c>
      <c r="B92" s="4">
        <f>IF(B91-D91+G91-(B91*($B$7+$H$7))+(C91*($C$7))&lt;0,0,B91-D91+G91-(B91*($B$7+$H$7))+(C91*($C$7)))</f>
        <v>41.67088680546</v>
      </c>
      <c r="C92" s="4">
        <f>IF(C91-E91+H91-(C91*($C$7+$I$7))+(B91*($B$7))&lt;0,0,C91-E91+H91-(C91*($C$7+$I$7))+(B91*($B$7)))</f>
        <v>55.766825943840011</v>
      </c>
      <c r="D92" s="4">
        <f>$D$8*B92</f>
        <v>4.1670886805460006</v>
      </c>
      <c r="E92" s="4">
        <f>$E$8*C92</f>
        <v>8.3650238915760013</v>
      </c>
      <c r="F92" s="4">
        <f t="shared" si="33"/>
        <v>73.43150424172201</v>
      </c>
      <c r="G92" s="4">
        <f>$F$8*F91</f>
        <v>1.8269817500880001</v>
      </c>
      <c r="H92" s="4">
        <f>$G$8*F91</f>
        <v>3.0449695834800004</v>
      </c>
      <c r="I92" s="4">
        <f>$H$8*B92+$I$8*C92</f>
        <v>0</v>
      </c>
      <c r="J92" s="4">
        <f t="shared" si="34"/>
        <v>0</v>
      </c>
      <c r="K92" s="32">
        <f t="shared" si="32"/>
        <v>0</v>
      </c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 spans="1:24" x14ac:dyDescent="0.25">
      <c r="A93" s="11" t="str">
        <f>$A$28</f>
        <v>Fall 2027</v>
      </c>
      <c r="B93" s="4">
        <f>IF(B92-D92+G92-(B92*($B$8+$H$8))+(C92*($C$8))&lt;0,0,B92-D92+G92-(B92*($B$8+$H$8))+(C92*($C$8)))</f>
        <v>34.906449636075607</v>
      </c>
      <c r="C93" s="4">
        <f>IF(C92-E92+H92-(C92*($C$8+$I$8))+(B92*($B$8))&lt;0,0,C92-E92+H92-(C92*($C$8+$I$8))+(B92*($B$8)))</f>
        <v>54.871101874670408</v>
      </c>
      <c r="D93" s="4">
        <f>$D$9*B93</f>
        <v>3.4906449636075609</v>
      </c>
      <c r="E93" s="4">
        <f>$E$9*C93</f>
        <v>8.2306652812005616</v>
      </c>
      <c r="F93" s="4">
        <f t="shared" si="33"/>
        <v>85.152814486530133</v>
      </c>
      <c r="G93" s="4">
        <f>$F$9*F92</f>
        <v>2.20294512725166</v>
      </c>
      <c r="H93" s="4">
        <f>$G$9*F92</f>
        <v>3.6715752120861005</v>
      </c>
      <c r="I93" s="4">
        <f>$H$9*B93+$I$9*C93</f>
        <v>0</v>
      </c>
      <c r="J93" s="4">
        <f t="shared" si="34"/>
        <v>0</v>
      </c>
      <c r="K93" s="32">
        <f t="shared" si="32"/>
        <v>0</v>
      </c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 spans="1:24" x14ac:dyDescent="0.25">
      <c r="A94" s="11" t="str">
        <f>$A$29</f>
        <v>Spring 2027</v>
      </c>
      <c r="B94" s="4">
        <f>IF(B93-D93+G93-(B93*($B$9+$H$9))+(C93*($C$9))&lt;0,0,B93-D93+G93-(B93*($B$9+$H$9))+(C93*($C$9)))</f>
        <v>30.379247578167849</v>
      </c>
      <c r="C94" s="4">
        <f>IF(C93-E93+H93-(C93*($C$9+$I$9))+(B93*($B$9))&lt;0,0,C93-E93+H93-(C93*($C$9+$I$9))+(B93*($B$9)))</f>
        <v>53.5515140271078</v>
      </c>
      <c r="D94" s="4">
        <f>$D$10*B94</f>
        <v>3.0379247578167852</v>
      </c>
      <c r="E94" s="4">
        <f>$E$10*C94</f>
        <v>8.0327271040661703</v>
      </c>
      <c r="F94" s="4">
        <f t="shared" si="33"/>
        <v>96.223466348413083</v>
      </c>
      <c r="G94" s="4">
        <f>$F$10*F93</f>
        <v>2.5545844345959039</v>
      </c>
      <c r="H94" s="4">
        <f>$G$10*F93</f>
        <v>4.2576407243265066</v>
      </c>
      <c r="I94" s="4">
        <f>$H$10*B94+$I$10*C94</f>
        <v>0.30379247578167851</v>
      </c>
      <c r="J94" s="4">
        <f t="shared" si="34"/>
        <v>0.30379247578167851</v>
      </c>
      <c r="K94" s="32">
        <f t="shared" si="32"/>
        <v>3.6195605755421022E-3</v>
      </c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 spans="1:24" x14ac:dyDescent="0.25">
      <c r="A95" s="105"/>
      <c r="B95" s="4">
        <f>IF(B94-D94+G94-(B94*($B$10+$H$10))+(C94*($C$10))&lt;0,0,B94-D94+G94-(B94*($B$10+$H$10))+(C94*($C$10)))</f>
        <v>27.048661811552428</v>
      </c>
      <c r="C95" s="4">
        <f>IF(C94-E94+H94-(C94*($C$10+$I$10))+(B94*($B$10))&lt;0,0,C94-E94+H94-(C94*($C$10+$I$10))+(B94*($B$10)))</f>
        <v>52.319880614980995</v>
      </c>
      <c r="D95" s="4">
        <f>$D$11*B95</f>
        <v>2.7048661811552428</v>
      </c>
      <c r="E95" s="4">
        <f>$E$11*C95</f>
        <v>7.8479820922471486</v>
      </c>
      <c r="F95" s="4">
        <f t="shared" si="33"/>
        <v>106.77631462181547</v>
      </c>
      <c r="G95" s="4">
        <f>$F$11*F94</f>
        <v>2.8867039904523923</v>
      </c>
      <c r="H95" s="4">
        <f>$G$11*F94</f>
        <v>4.8111733174206543</v>
      </c>
      <c r="I95" s="4">
        <f>$H$11*B95+$I$11*C95</f>
        <v>0.54097323623104854</v>
      </c>
      <c r="J95" s="4">
        <f t="shared" si="34"/>
        <v>0.84476571201272699</v>
      </c>
      <c r="K95" s="32">
        <f t="shared" si="32"/>
        <v>1.0643583543123204E-2</v>
      </c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</row>
    <row r="96" spans="1:24" x14ac:dyDescent="0.25">
      <c r="A96" s="105"/>
      <c r="B96" s="4">
        <f>IF(B95-D95+G95-(B95*($B$11+$H$11))+(C95*($C$11))&lt;0,0,B95-D95+G95-(B95*($B$11+$H$11))+(C95*($C$11)))</f>
        <v>24.618375756997473</v>
      </c>
      <c r="C96" s="4">
        <f>IF(C95-E95+H95-(C95*($C$11+$I$11))+(B95*($B$11))&lt;0,0,C95-E95+H95-(C95*($C$11+$I$11))+(B95*($B$11)))</f>
        <v>51.354222467775557</v>
      </c>
      <c r="D96" s="4">
        <f>$D$12*B96</f>
        <v>2.4618375756997475</v>
      </c>
      <c r="E96" s="4">
        <f>$E$12*C96</f>
        <v>7.7031333701663334</v>
      </c>
      <c r="F96" s="4">
        <f t="shared" si="33"/>
        <v>116.94128556768155</v>
      </c>
      <c r="G96" s="4">
        <f>$F$12*F95</f>
        <v>3.2032894386544641</v>
      </c>
      <c r="H96" s="4">
        <f>$G$12*F95</f>
        <v>5.338815731090774</v>
      </c>
      <c r="I96" s="4">
        <f>$H$12*B96+$I$12*C96</f>
        <v>3.6927563635496208</v>
      </c>
      <c r="J96" s="4">
        <f t="shared" si="34"/>
        <v>4.5375220755623475</v>
      </c>
      <c r="K96" s="32">
        <f t="shared" si="32"/>
        <v>5.9725771943952795E-2</v>
      </c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 spans="1:24" x14ac:dyDescent="0.25">
      <c r="A97" s="105"/>
      <c r="B97" s="4">
        <f>IF(B96-D96+G96-(B96*($B$12+$H$12))+(C96*($C$12))&lt;0,0,B96-D96+G96-(B96*($B$12+$H$12))+(C96*($C$12)))</f>
        <v>19.909348291220834</v>
      </c>
      <c r="C97" s="4">
        <f>IF(C96-E96+H96-(C96*($C$12+$I$12))+(B96*($B$12))&lt;0,0,C96-E96+H96-(C96*($C$12+$I$12))+(B96*($B$12)))</f>
        <v>50.747627793881733</v>
      </c>
      <c r="D97" s="4">
        <f>$D$13*B97</f>
        <v>1.9909348291220834</v>
      </c>
      <c r="E97" s="4">
        <f>$E$13*C97</f>
        <v>7.61214416908226</v>
      </c>
      <c r="F97" s="4">
        <f t="shared" si="33"/>
        <v>126.54436456588589</v>
      </c>
      <c r="G97" s="4">
        <f>$F$13*F96</f>
        <v>3.5082385670304461</v>
      </c>
      <c r="H97" s="4">
        <f>$G$13*F96</f>
        <v>5.8470642783840781</v>
      </c>
      <c r="I97" s="4">
        <f>$H$13*B97+$I$13*C97</f>
        <v>2.9864022436831248</v>
      </c>
      <c r="J97" s="4">
        <f t="shared" si="34"/>
        <v>7.5239243192454719</v>
      </c>
      <c r="K97" s="32">
        <f t="shared" si="32"/>
        <v>0.10648522957143404</v>
      </c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 spans="1:24" x14ac:dyDescent="0.25">
      <c r="A98" s="105"/>
      <c r="B98" s="4">
        <f>IF(B97-D97+G97-(B97*($B$13+$H$13))+(C97*($C$13))&lt;0,0,B97-D97+G97-(B97*($B$13+$H$13))+(C97*($C$13)))</f>
        <v>17.741301560380204</v>
      </c>
      <c r="C98" s="4">
        <f>IF(C97-E97+H97-(C97*($C$13+$I$13))+(B97*($B$13))&lt;0,0,C97-E97+H97-(C97*($C$13+$I$13))+(B97*($B$13)))</f>
        <v>49.681496128249428</v>
      </c>
      <c r="D98" s="4">
        <f>$D$14*B98</f>
        <v>1.7741301560380205</v>
      </c>
      <c r="E98" s="4">
        <f>$E$14*C98</f>
        <v>7.4522244192374139</v>
      </c>
      <c r="F98" s="4">
        <f t="shared" si="33"/>
        <v>135.77071914116132</v>
      </c>
      <c r="G98" s="4">
        <f>$F$14*F97</f>
        <v>3.7963309369765765</v>
      </c>
      <c r="H98" s="4">
        <f>$G$14*F97</f>
        <v>6.3272182282942948</v>
      </c>
      <c r="I98" s="4">
        <f>$H$14*B98+$I$14*C98</f>
        <v>4.1516401179045133</v>
      </c>
      <c r="J98" s="4">
        <f t="shared" si="34"/>
        <v>11.675564437149985</v>
      </c>
      <c r="K98" s="32">
        <f t="shared" si="32"/>
        <v>0.17316938539201238</v>
      </c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 spans="1:24" x14ac:dyDescent="0.25">
      <c r="A99" s="105"/>
      <c r="B99" s="4">
        <f>IF(B98-D98+G98-(B98*($B$13+$H$13))+(C98*($C$13))&lt;0,0,B98-D98+G98-(B98*($B$13+$H$13))+(C98*($C$13)))</f>
        <v>16.925479267576414</v>
      </c>
      <c r="C99" s="4">
        <f>IF(C98-E98+H98-(C98*($C$14+$I$14))+(B98*($B$14))&lt;0,0,C98-E98+H98-(C98*($C$14+$I$14))+(B98*($B$14)))</f>
        <v>47.420285908747935</v>
      </c>
      <c r="D99" s="4">
        <f>$D$15*B99</f>
        <v>1.6925479267576415</v>
      </c>
      <c r="E99" s="4">
        <f>$E$15*C99</f>
        <v>7.1130428863121899</v>
      </c>
      <c r="F99" s="4">
        <f t="shared" si="33"/>
        <v>144.57630995423116</v>
      </c>
      <c r="G99" s="4">
        <f>$F$15*F98</f>
        <v>4.0731215742348397</v>
      </c>
      <c r="H99" s="4">
        <f>$G$15*F98</f>
        <v>6.7885359570580661</v>
      </c>
      <c r="I99" s="4">
        <f>$H$15*B99+$I$15*C99</f>
        <v>4.4356333264863794</v>
      </c>
      <c r="J99" s="4">
        <f t="shared" si="34"/>
        <v>16.111197763636365</v>
      </c>
      <c r="K99" s="32">
        <f t="shared" si="32"/>
        <v>0.25038474124112814</v>
      </c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 spans="1:24" x14ac:dyDescent="0.25">
      <c r="A100" s="8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9" t="s">
        <v>129</v>
      </c>
      <c r="M100" s="8"/>
      <c r="N100" s="9" t="str">
        <f>"Coninuing Since  "&amp;$A$18</f>
        <v>Coninuing Since  New Fall 2022</v>
      </c>
      <c r="O100" s="8"/>
      <c r="P100" s="8"/>
      <c r="Q100" s="11" t="s">
        <v>130</v>
      </c>
      <c r="R100" s="13"/>
      <c r="S100" s="13"/>
      <c r="T100" s="13"/>
      <c r="U100" s="13"/>
      <c r="V100" s="13"/>
      <c r="W100" s="13"/>
      <c r="X100" s="13"/>
    </row>
    <row r="101" spans="1:24" x14ac:dyDescent="0.25">
      <c r="A101" s="11" t="str">
        <f>$A$17</f>
        <v>Semester</v>
      </c>
      <c r="B101" s="12" t="s">
        <v>85</v>
      </c>
      <c r="C101" s="12" t="s">
        <v>86</v>
      </c>
      <c r="D101" s="12" t="s">
        <v>96</v>
      </c>
      <c r="E101" s="12" t="s">
        <v>95</v>
      </c>
      <c r="F101" s="12" t="s">
        <v>87</v>
      </c>
      <c r="G101" s="12" t="s">
        <v>97</v>
      </c>
      <c r="H101" s="12" t="s">
        <v>98</v>
      </c>
      <c r="I101" s="12" t="s">
        <v>84</v>
      </c>
      <c r="J101" s="12" t="s">
        <v>88</v>
      </c>
      <c r="K101" s="12" t="s">
        <v>99</v>
      </c>
      <c r="L101" s="12" t="s">
        <v>103</v>
      </c>
      <c r="M101" s="12" t="s">
        <v>104</v>
      </c>
      <c r="N101" s="12" t="s">
        <v>103</v>
      </c>
      <c r="O101" s="12" t="s">
        <v>104</v>
      </c>
      <c r="P101" s="12" t="s">
        <v>103</v>
      </c>
      <c r="Q101" s="12" t="s">
        <v>104</v>
      </c>
      <c r="R101" s="13"/>
      <c r="S101" s="13"/>
      <c r="T101" s="13"/>
      <c r="U101" s="13"/>
      <c r="V101" s="13"/>
      <c r="W101" s="13"/>
      <c r="X101" s="13"/>
    </row>
    <row r="102" spans="1:24" x14ac:dyDescent="0.25">
      <c r="A102" s="11" t="str">
        <f>"New "&amp;$A$24</f>
        <v>New Fall 2025</v>
      </c>
      <c r="B102" s="97">
        <f>Enrollment!F3</f>
        <v>310.49567999999999</v>
      </c>
      <c r="C102" s="97">
        <f>Enrollment!F7</f>
        <v>67.920929999999998</v>
      </c>
      <c r="D102" s="4">
        <f>$D$4*B102</f>
        <v>31.049568000000001</v>
      </c>
      <c r="E102" s="4">
        <f>$E$4*C102</f>
        <v>10.1881395</v>
      </c>
      <c r="F102" s="4">
        <f>D102+E102</f>
        <v>41.237707499999999</v>
      </c>
      <c r="G102" s="4">
        <v>0</v>
      </c>
      <c r="H102" s="4">
        <v>0</v>
      </c>
      <c r="I102" s="4">
        <f>$H$4*B102+$I$4*C102</f>
        <v>0</v>
      </c>
      <c r="J102" s="4">
        <f>I102</f>
        <v>0</v>
      </c>
      <c r="K102" s="32">
        <f>J102/(B102+C102)</f>
        <v>0</v>
      </c>
      <c r="L102" s="4">
        <f>L182</f>
        <v>284.57625446881769</v>
      </c>
      <c r="M102" s="4">
        <f>M182</f>
        <v>674.22603261534027</v>
      </c>
      <c r="N102" s="6">
        <f>B90+B77+B64+B51+B38+B25</f>
        <v>426.75703004807008</v>
      </c>
      <c r="O102" s="6">
        <f>C90+C77+C64+C51+C38+C25</f>
        <v>576.51815774325996</v>
      </c>
      <c r="P102" s="6">
        <f>L102+N102</f>
        <v>711.33328451688772</v>
      </c>
      <c r="Q102" s="6">
        <f>M102+O102</f>
        <v>1250.7441903586002</v>
      </c>
      <c r="R102" s="13"/>
      <c r="S102" s="13"/>
      <c r="T102" s="13"/>
      <c r="U102" s="13"/>
      <c r="V102" s="13"/>
      <c r="W102" s="13"/>
      <c r="X102" s="13"/>
    </row>
    <row r="103" spans="1:24" x14ac:dyDescent="0.25">
      <c r="A103" s="11" t="str">
        <f>$A$25</f>
        <v>Spring 2025</v>
      </c>
      <c r="B103" s="4">
        <f>IF(B102-D102+G102-(B102*($B$4+$H$4))+(C102*($C$4))&lt;0,0,B102-D102+G102-(B102*($B$4+$H$4))+(C102*($C$4)))</f>
        <v>224.13906899999998</v>
      </c>
      <c r="C103" s="4">
        <f>IF(C102-E102+H102-(C102*($C$4+$I$4))+(B102*($B$4))&lt;0,0,C102-E102+H102-(C102*($C$4+$I$4))+(B102*($B$4)))</f>
        <v>113.0398335</v>
      </c>
      <c r="D103" s="4">
        <f>$D$5*B103</f>
        <v>22.413906900000001</v>
      </c>
      <c r="E103" s="4">
        <f>$E$5*C103</f>
        <v>16.955975025000001</v>
      </c>
      <c r="F103" s="4">
        <f>F102+D103+E103</f>
        <v>80.607589425</v>
      </c>
      <c r="G103" s="4">
        <f>$F$5*F102</f>
        <v>0.41237707499999998</v>
      </c>
      <c r="H103" s="4">
        <f>$G$5*F102</f>
        <v>0.82475414999999996</v>
      </c>
      <c r="I103" s="4">
        <f>$H$5*B103+$I$5*C103</f>
        <v>0</v>
      </c>
      <c r="J103" s="4">
        <f>J102+I103</f>
        <v>0</v>
      </c>
      <c r="K103" s="32">
        <f t="shared" ref="K103:K113" si="35">J103/(B103+C103)</f>
        <v>0</v>
      </c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 spans="1:24" x14ac:dyDescent="0.25">
      <c r="A104" s="11" t="str">
        <f>$A$26</f>
        <v>Fall 2026</v>
      </c>
      <c r="B104" s="4">
        <f>IF(B103-D103+G103-(B103*($B$5+$H$5))+(C103*($C$5))&lt;0,0,B103-D103+G103-(B103*($B$5+$H$5))+(C103*($C$5)))</f>
        <v>166.37231803499998</v>
      </c>
      <c r="C104" s="4">
        <f>IF(C103-E103+H103-(C103*($C$5+$I$5))+(B103*($B$5))&lt;0,0,C103-E103+H103-(C103*($C$5+$I$5))+(B103*($B$5)))</f>
        <v>132.67383376500001</v>
      </c>
      <c r="D104" s="4">
        <f>$D$6*B104</f>
        <v>16.637231803499997</v>
      </c>
      <c r="E104" s="4">
        <f>$E$6*C104</f>
        <v>19.90107506475</v>
      </c>
      <c r="F104" s="4">
        <f t="shared" ref="F104:F113" si="36">F103+D104+E104</f>
        <v>117.14589629325</v>
      </c>
      <c r="G104" s="4">
        <f>$F$6*F103</f>
        <v>1.6121517885000001</v>
      </c>
      <c r="H104" s="4">
        <f>$G$6*F103</f>
        <v>2.41822768275</v>
      </c>
      <c r="I104" s="4">
        <f>$H$6*B104+$I$6*C104</f>
        <v>0</v>
      </c>
      <c r="J104" s="4">
        <f t="shared" ref="J104:J113" si="37">J103+I104</f>
        <v>0</v>
      </c>
      <c r="K104" s="32">
        <f t="shared" si="35"/>
        <v>0</v>
      </c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 spans="1:24" x14ac:dyDescent="0.25">
      <c r="A105" s="11" t="str">
        <f>$A$27</f>
        <v>Spring 2026</v>
      </c>
      <c r="B105" s="4">
        <f>IF(B104-D104+G104-(B104*($B$6+$H$6))+(C104*($C$6))&lt;0,0,B104-D104+G104-(B104*($B$6+$H$6))+(C104*($C$6)))</f>
        <v>128.0127114288</v>
      </c>
      <c r="C105" s="4">
        <f>IF(C104-E104+H104-(C104*($C$6+$I$6))+(B104*($B$6))&lt;0,0,C104-E104+H104-(C104*($C$6+$I$6))+(B104*($B$6)))</f>
        <v>138.52551297420001</v>
      </c>
      <c r="D105" s="4">
        <f>$D$7*B105</f>
        <v>12.801271142880001</v>
      </c>
      <c r="E105" s="4">
        <f>$E$7*C105</f>
        <v>20.77882694613</v>
      </c>
      <c r="F105" s="4">
        <f t="shared" si="36"/>
        <v>150.72599438226001</v>
      </c>
      <c r="G105" s="4">
        <f>$F$7*F104</f>
        <v>3.5143768887975</v>
      </c>
      <c r="H105" s="4">
        <f>$G$7*F104</f>
        <v>4.6858358517300003</v>
      </c>
      <c r="I105" s="4">
        <f>$H$7*B105+$I$7*C105</f>
        <v>0</v>
      </c>
      <c r="J105" s="4">
        <f t="shared" si="37"/>
        <v>0</v>
      </c>
      <c r="K105" s="32">
        <f t="shared" si="35"/>
        <v>0</v>
      </c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</row>
    <row r="106" spans="1:24" x14ac:dyDescent="0.25">
      <c r="A106" s="11" t="str">
        <f>$A$28</f>
        <v>Fall 2027</v>
      </c>
      <c r="B106" s="4">
        <f>IF(B105-D105+G105-(B105*($B$7+$H$7))+(C105*($C$7))&lt;0,0,B105-D105+G105-(B105*($B$7+$H$7))+(C105*($C$7)))</f>
        <v>103.13544484351351</v>
      </c>
      <c r="C106" s="4">
        <f>IF(C105-E105+H105-(C105*($C$7+$I$7))+(B105*($B$7))&lt;0,0,C105-E105+H105-(C105*($C$7+$I$7))+(B105*($B$7)))</f>
        <v>138.02289421100403</v>
      </c>
      <c r="D106" s="4">
        <f>$D$8*B106</f>
        <v>10.313544484351352</v>
      </c>
      <c r="E106" s="4">
        <f>$E$8*C106</f>
        <v>20.703434131650603</v>
      </c>
      <c r="F106" s="4">
        <f t="shared" si="36"/>
        <v>181.74297299826196</v>
      </c>
      <c r="G106" s="4">
        <f>$F$8*F105</f>
        <v>4.5217798314677999</v>
      </c>
      <c r="H106" s="4">
        <f>$G$8*F105</f>
        <v>7.5362997191130008</v>
      </c>
      <c r="I106" s="4">
        <f>$H$8*B106+$I$8*C106</f>
        <v>0</v>
      </c>
      <c r="J106" s="4">
        <f t="shared" si="37"/>
        <v>0</v>
      </c>
      <c r="K106" s="32">
        <f t="shared" si="35"/>
        <v>0</v>
      </c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 spans="1:24" x14ac:dyDescent="0.25">
      <c r="A107" s="11" t="str">
        <f>$A$29</f>
        <v>Spring 2027</v>
      </c>
      <c r="B107" s="4">
        <f>IF(B106-D106+G106-(B106*($B$8+$H$8))+(C106*($C$8))&lt;0,0,B106-D106+G106-(B106*($B$8+$H$8))+(C106*($C$8)))</f>
        <v>86.393462849287118</v>
      </c>
      <c r="C107" s="4">
        <f>IF(C106-E106+H106-(C106*($C$8+$I$8))+(B106*($B$8))&lt;0,0,C106-E106+H106-(C106*($C$8+$I$8))+(B106*($B$8)))</f>
        <v>135.80597713980927</v>
      </c>
      <c r="D107" s="4">
        <f>$D$9*B107</f>
        <v>8.6393462849287115</v>
      </c>
      <c r="E107" s="4">
        <f>$E$9*C107</f>
        <v>20.370896570971389</v>
      </c>
      <c r="F107" s="4">
        <f t="shared" si="36"/>
        <v>210.75321585416205</v>
      </c>
      <c r="G107" s="4">
        <f>$F$9*F106</f>
        <v>5.4522891899478587</v>
      </c>
      <c r="H107" s="4">
        <f>$G$9*F106</f>
        <v>9.0871486499130985</v>
      </c>
      <c r="I107" s="4">
        <f>$H$9*B107+$I$9*C107</f>
        <v>0</v>
      </c>
      <c r="J107" s="4">
        <f t="shared" si="37"/>
        <v>0</v>
      </c>
      <c r="K107" s="32">
        <f t="shared" si="35"/>
        <v>0</v>
      </c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 spans="1:24" x14ac:dyDescent="0.25">
      <c r="A108" s="105"/>
      <c r="B108" s="4">
        <f>IF(B107-D107+G107-(B107*($B$9+$H$9))+(C107*($C$9))&lt;0,0,B107-D107+G107-(B107*($B$9+$H$9))+(C107*($C$9)))</f>
        <v>75.188637755965431</v>
      </c>
      <c r="C108" s="4">
        <f>IF(C107-E107+H107-(C107*($C$9+$I$9))+(B107*($B$9))&lt;0,0,C107-E107+H107-(C107*($C$9+$I$9))+(B107*($B$9)))</f>
        <v>132.53999721709187</v>
      </c>
      <c r="D108" s="4">
        <f>$D$10*B108</f>
        <v>7.5188637755965431</v>
      </c>
      <c r="E108" s="4">
        <f>$E$10*C108</f>
        <v>19.880999582563778</v>
      </c>
      <c r="F108" s="4">
        <f t="shared" si="36"/>
        <v>238.15307921232238</v>
      </c>
      <c r="G108" s="4">
        <f>$F$10*F107</f>
        <v>6.3225964756248612</v>
      </c>
      <c r="H108" s="4">
        <f>$G$10*F107</f>
        <v>10.537660792708103</v>
      </c>
      <c r="I108" s="4">
        <f>$H$10*B108+$I$10*C108</f>
        <v>0.75188637755965437</v>
      </c>
      <c r="J108" s="4">
        <f t="shared" si="37"/>
        <v>0.75188637755965437</v>
      </c>
      <c r="K108" s="32">
        <f t="shared" si="35"/>
        <v>3.6195605755421014E-3</v>
      </c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 spans="1:24" x14ac:dyDescent="0.25">
      <c r="A109" s="105"/>
      <c r="B109" s="4">
        <f>IF(B108-D108+G108-(B108*($B$10+$H$10))+(C108*($C$10))&lt;0,0,B108-D108+G108-(B108*($B$10+$H$10))+(C108*($C$10)))</f>
        <v>66.945437983592271</v>
      </c>
      <c r="C109" s="4">
        <f>IF(C108-E108+H108-(C108*($C$10+$I$10))+(B108*($B$10))&lt;0,0,C108-E108+H108-(C108*($C$10+$I$10))+(B108*($B$10)))</f>
        <v>129.49170452207801</v>
      </c>
      <c r="D109" s="4">
        <f>$D$11*B109</f>
        <v>6.6945437983592271</v>
      </c>
      <c r="E109" s="4">
        <f>$E$11*C109</f>
        <v>19.4237556783117</v>
      </c>
      <c r="F109" s="4">
        <f t="shared" si="36"/>
        <v>264.27137868899331</v>
      </c>
      <c r="G109" s="4">
        <f>$F$11*F108</f>
        <v>7.1445923763696708</v>
      </c>
      <c r="H109" s="4">
        <f>$G$11*F108</f>
        <v>11.90765396061612</v>
      </c>
      <c r="I109" s="4">
        <f>$H$11*B109+$I$11*C109</f>
        <v>1.3389087596718454</v>
      </c>
      <c r="J109" s="4">
        <f t="shared" si="37"/>
        <v>2.0907951372314999</v>
      </c>
      <c r="K109" s="32">
        <f t="shared" si="35"/>
        <v>1.0643583543123204E-2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 spans="1:24" x14ac:dyDescent="0.25">
      <c r="A110" s="105"/>
      <c r="B110" s="4">
        <f>IF(B109-D109+G109-(B109*($B$11+$H$11))+(C109*($C$11))&lt;0,0,B109-D109+G109-(B109*($B$11+$H$11))+(C109*($C$11)))</f>
        <v>60.93047999856875</v>
      </c>
      <c r="C110" s="4">
        <f>IF(C109-E109+H109-(C109*($C$11+$I$11))+(B109*($B$11))&lt;0,0,C109-E109+H109-(C109*($C$11+$I$11))+(B109*($B$11)))</f>
        <v>127.10170060774453</v>
      </c>
      <c r="D110" s="4">
        <f>$D$12*B110</f>
        <v>6.093047999856875</v>
      </c>
      <c r="E110" s="4">
        <f>$E$12*C110</f>
        <v>19.065255091161678</v>
      </c>
      <c r="F110" s="4">
        <f t="shared" si="36"/>
        <v>289.42968178001189</v>
      </c>
      <c r="G110" s="4">
        <f>$F$12*F109</f>
        <v>7.928141360669799</v>
      </c>
      <c r="H110" s="4">
        <f>$G$12*F109</f>
        <v>13.213568934449667</v>
      </c>
      <c r="I110" s="4">
        <f>$H$12*B110+$I$12*C110</f>
        <v>9.1395719997853124</v>
      </c>
      <c r="J110" s="4">
        <f t="shared" si="37"/>
        <v>11.230367137016813</v>
      </c>
      <c r="K110" s="32">
        <f t="shared" si="35"/>
        <v>5.9725771943952809E-2</v>
      </c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 spans="1:24" x14ac:dyDescent="0.25">
      <c r="A111" s="105"/>
      <c r="B111" s="4">
        <f>IF(B110-D110+G110-(B110*($B$12+$H$12))+(C110*($C$12))&lt;0,0,B110-D110+G110-(B110*($B$12+$H$12))+(C110*($C$12)))</f>
        <v>49.275637020771562</v>
      </c>
      <c r="C111" s="4">
        <f>IF(C110-E110+H110-(C110*($C$12+$I$12))+(B110*($B$12))&lt;0,0,C110-E110+H110-(C110*($C$12+$I$12))+(B110*($B$12)))</f>
        <v>125.60037878985732</v>
      </c>
      <c r="D111" s="4">
        <f>$D$13*B111</f>
        <v>4.9275637020771565</v>
      </c>
      <c r="E111" s="4">
        <f>$E$13*C111</f>
        <v>18.840056818478597</v>
      </c>
      <c r="F111" s="4">
        <f t="shared" si="36"/>
        <v>313.19730230056769</v>
      </c>
      <c r="G111" s="4">
        <f>$F$13*F110</f>
        <v>8.6828904534003559</v>
      </c>
      <c r="H111" s="4">
        <f>$G$13*F110</f>
        <v>14.471484089000596</v>
      </c>
      <c r="I111" s="4">
        <f>$H$13*B111+$I$13*C111</f>
        <v>7.3913455531157339</v>
      </c>
      <c r="J111" s="4">
        <f t="shared" si="37"/>
        <v>18.621712690132547</v>
      </c>
      <c r="K111" s="32">
        <f t="shared" si="35"/>
        <v>0.10648522957143405</v>
      </c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 spans="1:24" x14ac:dyDescent="0.25">
      <c r="A112" s="105"/>
      <c r="B112" s="4">
        <f>IF(B111-D111+G111-(B111*($B$13+$H$13))+(C111*($C$13))&lt;0,0,B111-D111+G111-(B111*($B$13+$H$13))+(C111*($C$13)))</f>
        <v>43.90972136194101</v>
      </c>
      <c r="C112" s="4">
        <f>IF(C111-E111+H111-(C111*($C$13+$I$13))+(B111*($B$13))&lt;0,0,C111-E111+H111-(C111*($C$13+$I$13))+(B111*($B$13)))</f>
        <v>122.96170291741734</v>
      </c>
      <c r="D112" s="4">
        <f>$D$14*B112</f>
        <v>4.390972136194101</v>
      </c>
      <c r="E112" s="4">
        <f>$E$14*C112</f>
        <v>18.4442554376126</v>
      </c>
      <c r="F112" s="4">
        <f t="shared" si="36"/>
        <v>336.03252987437435</v>
      </c>
      <c r="G112" s="4">
        <f>$F$14*F111</f>
        <v>9.3959190690170296</v>
      </c>
      <c r="H112" s="4">
        <f>$G$14*F111</f>
        <v>15.659865115028385</v>
      </c>
      <c r="I112" s="4">
        <f>$H$14*B112+$I$14*C112</f>
        <v>10.275309291813672</v>
      </c>
      <c r="J112" s="4">
        <f t="shared" si="37"/>
        <v>28.897021981946217</v>
      </c>
      <c r="K112" s="32">
        <f t="shared" si="35"/>
        <v>0.1731693853920124</v>
      </c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 spans="1:24" x14ac:dyDescent="0.25">
      <c r="A113" s="83"/>
      <c r="B113" s="4">
        <f>IF(B112-D112+G112-(B112*($B$13+$H$13))+(C112*($C$13))&lt;0,0,B112-D112+G112-(B112*($B$13+$H$13))+(C112*($C$13)))</f>
        <v>41.890561187251635</v>
      </c>
      <c r="C113" s="4">
        <f>IF(C112-E112+H112-(C112*($C$14+$I$14))+(B112*($B$14))&lt;0,0,C112-E112+H112-(C112*($C$14+$I$14))+(B112*($B$14)))</f>
        <v>117.36520762415117</v>
      </c>
      <c r="D113" s="4">
        <f>$D$15*B113</f>
        <v>4.1890561187251638</v>
      </c>
      <c r="E113" s="4">
        <f>$E$15*C113</f>
        <v>17.604781143622674</v>
      </c>
      <c r="F113" s="4">
        <f t="shared" si="36"/>
        <v>357.82636713672218</v>
      </c>
      <c r="G113" s="4">
        <f>$F$15*F112</f>
        <v>10.08097589623123</v>
      </c>
      <c r="H113" s="4">
        <f>$G$15*F112</f>
        <v>16.801626493718718</v>
      </c>
      <c r="I113" s="4">
        <f>$H$15*B113+$I$15*C113</f>
        <v>10.978192483053792</v>
      </c>
      <c r="J113" s="4">
        <f t="shared" si="37"/>
        <v>39.875214465000013</v>
      </c>
      <c r="K113" s="32">
        <f t="shared" si="35"/>
        <v>0.25038474124112814</v>
      </c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 spans="1:24" x14ac:dyDescent="0.25">
      <c r="A114" s="83"/>
      <c r="B114" s="62"/>
      <c r="C114" s="62"/>
      <c r="D114" s="62"/>
      <c r="E114" s="62"/>
      <c r="F114" s="62"/>
      <c r="G114" s="62"/>
      <c r="H114" s="62"/>
      <c r="I114" s="62"/>
      <c r="J114" s="62"/>
      <c r="K114" s="96"/>
      <c r="L114" s="9" t="s">
        <v>129</v>
      </c>
      <c r="M114" s="8"/>
      <c r="N114" s="9" t="str">
        <f>"Coninuing Since  "&amp;$A$18</f>
        <v>Coninuing Since  New Fall 2022</v>
      </c>
      <c r="O114" s="8"/>
      <c r="P114" s="8"/>
      <c r="Q114" s="11" t="s">
        <v>130</v>
      </c>
      <c r="R114" s="13"/>
      <c r="S114" s="13"/>
      <c r="T114" s="13"/>
      <c r="U114" s="13"/>
      <c r="V114" s="13"/>
      <c r="W114" s="13"/>
      <c r="X114" s="13"/>
    </row>
    <row r="115" spans="1:24" x14ac:dyDescent="0.25">
      <c r="A115" s="11" t="str">
        <f>$A$17</f>
        <v>Semester</v>
      </c>
      <c r="B115" s="12" t="s">
        <v>85</v>
      </c>
      <c r="C115" s="12" t="s">
        <v>86</v>
      </c>
      <c r="D115" s="12" t="s">
        <v>96</v>
      </c>
      <c r="E115" s="12" t="s">
        <v>95</v>
      </c>
      <c r="F115" s="12" t="s">
        <v>87</v>
      </c>
      <c r="G115" s="12" t="s">
        <v>97</v>
      </c>
      <c r="H115" s="12" t="s">
        <v>98</v>
      </c>
      <c r="I115" s="12" t="s">
        <v>84</v>
      </c>
      <c r="J115" s="12" t="s">
        <v>88</v>
      </c>
      <c r="K115" s="12" t="s">
        <v>99</v>
      </c>
      <c r="L115" s="12" t="s">
        <v>103</v>
      </c>
      <c r="M115" s="12" t="s">
        <v>104</v>
      </c>
      <c r="N115" s="12" t="s">
        <v>103</v>
      </c>
      <c r="O115" s="12" t="s">
        <v>104</v>
      </c>
      <c r="P115" s="12" t="s">
        <v>103</v>
      </c>
      <c r="Q115" s="12" t="s">
        <v>104</v>
      </c>
      <c r="R115" s="13"/>
      <c r="S115" s="13"/>
      <c r="T115" s="13"/>
      <c r="U115" s="13"/>
      <c r="V115" s="13"/>
      <c r="W115" s="13"/>
      <c r="X115" s="13"/>
    </row>
    <row r="116" spans="1:24" x14ac:dyDescent="0.25">
      <c r="A116" s="11" t="str">
        <f>"New "&amp;$A$25</f>
        <v>New Spring 2025</v>
      </c>
      <c r="B116" s="97">
        <f>Enrollment!E4</f>
        <v>125.45280000000001</v>
      </c>
      <c r="C116" s="97">
        <f>Enrollment!E8</f>
        <v>27.442800000000002</v>
      </c>
      <c r="D116" s="4">
        <f>$D$4*B116</f>
        <v>12.545280000000002</v>
      </c>
      <c r="E116" s="4">
        <f>$E$4*C116</f>
        <v>4.1164199999999997</v>
      </c>
      <c r="F116" s="4">
        <f>D116+E116</f>
        <v>16.661700000000003</v>
      </c>
      <c r="G116" s="4">
        <v>0</v>
      </c>
      <c r="H116" s="4">
        <v>0</v>
      </c>
      <c r="I116" s="4">
        <f>$H$4*B116+$I$4*C116</f>
        <v>0</v>
      </c>
      <c r="J116" s="4">
        <f>I116</f>
        <v>0</v>
      </c>
      <c r="K116" s="32">
        <f>J116/(B116+C116)</f>
        <v>0</v>
      </c>
      <c r="L116" s="4">
        <f>L183</f>
        <v>212.21337733723763</v>
      </c>
      <c r="M116" s="4">
        <f>M183</f>
        <v>533.98981083700028</v>
      </c>
      <c r="N116" s="6">
        <f>B103+B91+B78+B65+B52+B39+B26</f>
        <v>582.40633583053727</v>
      </c>
      <c r="O116" s="6">
        <f>C103+C91+C78+C65+C52+C39+C26</f>
        <v>683.45774316647544</v>
      </c>
      <c r="P116" s="6">
        <f>L116+N116</f>
        <v>794.61971316777488</v>
      </c>
      <c r="Q116" s="6">
        <f>M116+O116</f>
        <v>1217.4475540034757</v>
      </c>
      <c r="R116" s="13"/>
      <c r="S116" s="13"/>
      <c r="T116" s="13"/>
      <c r="U116" s="13"/>
      <c r="V116" s="13"/>
      <c r="W116" s="13"/>
      <c r="X116" s="13"/>
    </row>
    <row r="117" spans="1:24" x14ac:dyDescent="0.25">
      <c r="A117" s="11" t="str">
        <f>$A$26</f>
        <v>Fall 2026</v>
      </c>
      <c r="B117" s="4">
        <f>IF(B116-D116+G116-(B116*($B$4+$H$4))+(C116*($C$4))&lt;0,0,B116-D116+G116-(B116*($B$4+$H$4))+(C116*($C$4)))</f>
        <v>90.561239999999998</v>
      </c>
      <c r="C117" s="4">
        <f>IF(C116-E116+H116-(C116*($C$4+$I$4))+(B116*($B$4))&lt;0,0,C116-E116+H116-(C116*($C$4+$I$4))+(B116*($B$4)))</f>
        <v>45.672660000000008</v>
      </c>
      <c r="D117" s="4">
        <f>$D$5*B117</f>
        <v>9.0561240000000005</v>
      </c>
      <c r="E117" s="4">
        <f>$E$5*C117</f>
        <v>6.850899000000001</v>
      </c>
      <c r="F117" s="4">
        <f>F116+D117+E117</f>
        <v>32.568723000000006</v>
      </c>
      <c r="G117" s="4">
        <f>$F$5*F116</f>
        <v>0.16661700000000004</v>
      </c>
      <c r="H117" s="4">
        <f>$G$5*F116</f>
        <v>0.33323400000000009</v>
      </c>
      <c r="I117" s="4">
        <f>$H$5*B117+$I$5*C117</f>
        <v>0</v>
      </c>
      <c r="J117" s="4">
        <f>J116+I117</f>
        <v>0</v>
      </c>
      <c r="K117" s="32">
        <f t="shared" ref="K117:K127" si="38">J117/(B117+C117)</f>
        <v>0</v>
      </c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 spans="1:24" x14ac:dyDescent="0.25">
      <c r="A118" s="11" t="str">
        <f>$A$27</f>
        <v>Spring 2026</v>
      </c>
      <c r="B118" s="4">
        <f>IF(B117-D117+G117-(B117*($B$5+$H$5))+(C117*($C$5))&lt;0,0,B117-D117+G117-(B117*($B$5+$H$5))+(C117*($C$5)))</f>
        <v>67.221138600000003</v>
      </c>
      <c r="C118" s="4">
        <f>IF(C117-E117+H117-(C117*($C$5+$I$5))+(B117*($B$5))&lt;0,0,C117-E117+H117-(C117*($C$5+$I$5))+(B117*($B$5)))</f>
        <v>53.6055894</v>
      </c>
      <c r="D118" s="4">
        <f>$D$6*B118</f>
        <v>6.7221138600000003</v>
      </c>
      <c r="E118" s="4">
        <f>$E$6*C118</f>
        <v>8.0408384099999992</v>
      </c>
      <c r="F118" s="4">
        <f t="shared" ref="F118:F127" si="39">F117+D118+E118</f>
        <v>47.331675270000005</v>
      </c>
      <c r="G118" s="4">
        <f>$F$6*F117</f>
        <v>0.6513744600000001</v>
      </c>
      <c r="H118" s="4">
        <f>$G$6*F117</f>
        <v>0.97706169000000009</v>
      </c>
      <c r="I118" s="4">
        <f>$H$6*B118+$I$6*C118</f>
        <v>0</v>
      </c>
      <c r="J118" s="4">
        <f t="shared" ref="J118:J127" si="40">J117+I118</f>
        <v>0</v>
      </c>
      <c r="K118" s="32">
        <f t="shared" si="38"/>
        <v>0</v>
      </c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 spans="1:24" x14ac:dyDescent="0.25">
      <c r="A119" s="11" t="str">
        <f>$A$28</f>
        <v>Fall 2027</v>
      </c>
      <c r="B119" s="4">
        <f>IF(B118-D118+G118-(B118*($B$6+$H$6))+(C118*($C$6))&lt;0,0,B118-D118+G118-(B118*($B$6+$H$6))+(C118*($C$6)))</f>
        <v>51.722307647999997</v>
      </c>
      <c r="C119" s="4">
        <f>IF(C118-E118+H118-(C118*($C$6+$I$6))+(B118*($B$6))&lt;0,0,C118-E118+H118-(C118*($C$6+$I$6))+(B118*($B$6)))</f>
        <v>55.969904232000005</v>
      </c>
      <c r="D119" s="4">
        <f>$D$7*B119</f>
        <v>5.1722307648000001</v>
      </c>
      <c r="E119" s="4">
        <f>$E$7*C119</f>
        <v>8.3954856348</v>
      </c>
      <c r="F119" s="4">
        <f t="shared" si="39"/>
        <v>60.899391669600007</v>
      </c>
      <c r="G119" s="4">
        <f>$F$7*F118</f>
        <v>1.4199502581000001</v>
      </c>
      <c r="H119" s="4">
        <f>$G$7*F118</f>
        <v>1.8932670108000003</v>
      </c>
      <c r="I119" s="4">
        <f>$H$7*B119+$I$7*C119</f>
        <v>0</v>
      </c>
      <c r="J119" s="4">
        <f t="shared" si="40"/>
        <v>0</v>
      </c>
      <c r="K119" s="32">
        <f t="shared" si="38"/>
        <v>0</v>
      </c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 spans="1:24" x14ac:dyDescent="0.25">
      <c r="A120" s="11" t="str">
        <f>$A$29</f>
        <v>Spring 2027</v>
      </c>
      <c r="B120" s="4">
        <f>IF(B119-D119+G119-(B119*($B$7+$H$7))+(C119*($C$7))&lt;0,0,B119-D119+G119-(B119*($B$7+$H$7))+(C119*($C$7)))</f>
        <v>41.67088680546</v>
      </c>
      <c r="C120" s="4">
        <f>IF(C119-E119+H119-(C119*($C$7+$I$7))+(B119*($B$7))&lt;0,0,C119-E119+H119-(C119*($C$7+$I$7))+(B119*($B$7)))</f>
        <v>55.766825943840011</v>
      </c>
      <c r="D120" s="4">
        <f>$D$8*B120</f>
        <v>4.1670886805460006</v>
      </c>
      <c r="E120" s="4">
        <f>$E$8*C120</f>
        <v>8.3650238915760013</v>
      </c>
      <c r="F120" s="4">
        <f t="shared" si="39"/>
        <v>73.43150424172201</v>
      </c>
      <c r="G120" s="4">
        <f>$F$8*F119</f>
        <v>1.8269817500880001</v>
      </c>
      <c r="H120" s="4">
        <f>$G$8*F119</f>
        <v>3.0449695834800004</v>
      </c>
      <c r="I120" s="4">
        <f>$H$8*B120+$I$8*C120</f>
        <v>0</v>
      </c>
      <c r="J120" s="4">
        <f t="shared" si="40"/>
        <v>0</v>
      </c>
      <c r="K120" s="32">
        <f t="shared" si="38"/>
        <v>0</v>
      </c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 spans="1:24" x14ac:dyDescent="0.25">
      <c r="A121" s="105"/>
      <c r="B121" s="4">
        <f>IF(B120-D120+G120-(B120*($B$8+$H$8))+(C120*($C$8))&lt;0,0,B120-D120+G120-(B120*($B$8+$H$8))+(C120*($C$8)))</f>
        <v>34.906449636075607</v>
      </c>
      <c r="C121" s="4">
        <f>IF(C120-E120+H120-(C120*($C$8+$I$8))+(B120*($B$8))&lt;0,0,C120-E120+H120-(C120*($C$8+$I$8))+(B120*($B$8)))</f>
        <v>54.871101874670408</v>
      </c>
      <c r="D121" s="4">
        <f>$D$9*B121</f>
        <v>3.4906449636075609</v>
      </c>
      <c r="E121" s="4">
        <f>$E$9*C121</f>
        <v>8.2306652812005616</v>
      </c>
      <c r="F121" s="4">
        <f t="shared" si="39"/>
        <v>85.152814486530133</v>
      </c>
      <c r="G121" s="4">
        <f>$F$9*F120</f>
        <v>2.20294512725166</v>
      </c>
      <c r="H121" s="4">
        <f>$G$9*F120</f>
        <v>3.6715752120861005</v>
      </c>
      <c r="I121" s="4">
        <f>$H$9*B121+$I$9*C121</f>
        <v>0</v>
      </c>
      <c r="J121" s="4">
        <f t="shared" si="40"/>
        <v>0</v>
      </c>
      <c r="K121" s="32">
        <f t="shared" si="38"/>
        <v>0</v>
      </c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 spans="1:24" x14ac:dyDescent="0.25">
      <c r="A122" s="105"/>
      <c r="B122" s="4">
        <f>IF(B121-D121+G121-(B121*($B$9+$H$9))+(C121*($C$9))&lt;0,0,B121-D121+G121-(B121*($B$9+$H$9))+(C121*($C$9)))</f>
        <v>30.379247578167849</v>
      </c>
      <c r="C122" s="4">
        <f>IF(C121-E121+H121-(C121*($C$9+$I$9))+(B121*($B$9))&lt;0,0,C121-E121+H121-(C121*($C$9+$I$9))+(B121*($B$9)))</f>
        <v>53.5515140271078</v>
      </c>
      <c r="D122" s="4">
        <f>$D$10*B122</f>
        <v>3.0379247578167852</v>
      </c>
      <c r="E122" s="4">
        <f>$E$10*C122</f>
        <v>8.0327271040661703</v>
      </c>
      <c r="F122" s="4">
        <f t="shared" si="39"/>
        <v>96.223466348413083</v>
      </c>
      <c r="G122" s="4">
        <f>$F$10*F121</f>
        <v>2.5545844345959039</v>
      </c>
      <c r="H122" s="4">
        <f>$G$10*F121</f>
        <v>4.2576407243265066</v>
      </c>
      <c r="I122" s="4">
        <f>$H$10*B122+$I$10*C122</f>
        <v>0.30379247578167851</v>
      </c>
      <c r="J122" s="4">
        <f t="shared" si="40"/>
        <v>0.30379247578167851</v>
      </c>
      <c r="K122" s="32">
        <f t="shared" si="38"/>
        <v>3.6195605755421022E-3</v>
      </c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spans="1:24" x14ac:dyDescent="0.25">
      <c r="A123" s="105"/>
      <c r="B123" s="4">
        <f>IF(B122-D122+G122-(B122*($B$10+$H$10))+(C122*($C$10))&lt;0,0,B122-D122+G122-(B122*($B$10+$H$10))+(C122*($C$10)))</f>
        <v>27.048661811552428</v>
      </c>
      <c r="C123" s="4">
        <f>IF(C122-E122+H122-(C122*($C$10+$I$10))+(B122*($B$10))&lt;0,0,C122-E122+H122-(C122*($C$10+$I$10))+(B122*($B$10)))</f>
        <v>52.319880614980995</v>
      </c>
      <c r="D123" s="4">
        <f>$D$11*B123</f>
        <v>2.7048661811552428</v>
      </c>
      <c r="E123" s="4">
        <f>$E$11*C123</f>
        <v>7.8479820922471486</v>
      </c>
      <c r="F123" s="4">
        <f t="shared" si="39"/>
        <v>106.77631462181547</v>
      </c>
      <c r="G123" s="4">
        <f>$F$11*F122</f>
        <v>2.8867039904523923</v>
      </c>
      <c r="H123" s="4">
        <f>$G$11*F122</f>
        <v>4.8111733174206543</v>
      </c>
      <c r="I123" s="4">
        <f>$H$11*B123+$I$11*C123</f>
        <v>0.54097323623104854</v>
      </c>
      <c r="J123" s="4">
        <f t="shared" si="40"/>
        <v>0.84476571201272699</v>
      </c>
      <c r="K123" s="32">
        <f t="shared" si="38"/>
        <v>1.0643583543123204E-2</v>
      </c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 spans="1:24" x14ac:dyDescent="0.25">
      <c r="A124" s="105"/>
      <c r="B124" s="4">
        <f>IF(B123-D123+G123-(B123*($B$11+$H$11))+(C123*($C$11))&lt;0,0,B123-D123+G123-(B123*($B$11+$H$11))+(C123*($C$11)))</f>
        <v>24.618375756997473</v>
      </c>
      <c r="C124" s="4">
        <f>IF(C123-E123+H123-(C123*($C$11+$I$11))+(B123*($B$11))&lt;0,0,C123-E123+H123-(C123*($C$11+$I$11))+(B123*($B$11)))</f>
        <v>51.354222467775557</v>
      </c>
      <c r="D124" s="4">
        <f>$D$12*B124</f>
        <v>2.4618375756997475</v>
      </c>
      <c r="E124" s="4">
        <f>$E$12*C124</f>
        <v>7.7031333701663334</v>
      </c>
      <c r="F124" s="4">
        <f t="shared" si="39"/>
        <v>116.94128556768155</v>
      </c>
      <c r="G124" s="4">
        <f>$F$12*F123</f>
        <v>3.2032894386544641</v>
      </c>
      <c r="H124" s="4">
        <f>$G$12*F123</f>
        <v>5.338815731090774</v>
      </c>
      <c r="I124" s="4">
        <f>$H$12*B124+$I$12*C124</f>
        <v>3.6927563635496208</v>
      </c>
      <c r="J124" s="4">
        <f t="shared" si="40"/>
        <v>4.5375220755623475</v>
      </c>
      <c r="K124" s="32">
        <f t="shared" si="38"/>
        <v>5.9725771943952795E-2</v>
      </c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1:24" x14ac:dyDescent="0.25">
      <c r="A125" s="105"/>
      <c r="B125" s="4">
        <f>IF(B124-D124+G124-(B124*($B$12+$H$12))+(C124*($C$12))&lt;0,0,B124-D124+G124-(B124*($B$12+$H$12))+(C124*($C$12)))</f>
        <v>19.909348291220834</v>
      </c>
      <c r="C125" s="4">
        <f>IF(C124-E124+H124-(C124*($C$12+$I$12))+(B124*($B$12))&lt;0,0,C124-E124+H124-(C124*($C$12+$I$12))+(B124*($B$12)))</f>
        <v>50.747627793881733</v>
      </c>
      <c r="D125" s="4">
        <f>$D$13*B125</f>
        <v>1.9909348291220834</v>
      </c>
      <c r="E125" s="4">
        <f>$E$13*C125</f>
        <v>7.61214416908226</v>
      </c>
      <c r="F125" s="4">
        <f t="shared" si="39"/>
        <v>126.54436456588589</v>
      </c>
      <c r="G125" s="4">
        <f>$F$13*F124</f>
        <v>3.5082385670304461</v>
      </c>
      <c r="H125" s="4">
        <f>$G$13*F124</f>
        <v>5.8470642783840781</v>
      </c>
      <c r="I125" s="4">
        <f>$H$13*B125+$I$13*C125</f>
        <v>2.9864022436831248</v>
      </c>
      <c r="J125" s="4">
        <f t="shared" si="40"/>
        <v>7.5239243192454719</v>
      </c>
      <c r="K125" s="32">
        <f t="shared" si="38"/>
        <v>0.10648522957143404</v>
      </c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1:24" x14ac:dyDescent="0.25">
      <c r="A126" s="105"/>
      <c r="B126" s="4">
        <f>IF(B125-D125+G125-(B125*($B$13+$H$13))+(C125*($C$13))&lt;0,0,B125-D125+G125-(B125*($B$13+$H$13))+(C125*($C$13)))</f>
        <v>17.741301560380204</v>
      </c>
      <c r="C126" s="4">
        <f>IF(C125-E125+H125-(C125*($C$13+$I$13))+(B125*($B$13))&lt;0,0,C125-E125+H125-(C125*($C$13+$I$13))+(B125*($B$13)))</f>
        <v>49.681496128249428</v>
      </c>
      <c r="D126" s="4">
        <f>$D$14*B126</f>
        <v>1.7741301560380205</v>
      </c>
      <c r="E126" s="4">
        <f>$E$14*C126</f>
        <v>7.4522244192374139</v>
      </c>
      <c r="F126" s="4">
        <f t="shared" si="39"/>
        <v>135.77071914116132</v>
      </c>
      <c r="G126" s="4">
        <f>$F$14*F125</f>
        <v>3.7963309369765765</v>
      </c>
      <c r="H126" s="4">
        <f>$G$14*F125</f>
        <v>6.3272182282942948</v>
      </c>
      <c r="I126" s="4">
        <f>$H$14*B126+$I$14*C126</f>
        <v>4.1516401179045133</v>
      </c>
      <c r="J126" s="4">
        <f t="shared" si="40"/>
        <v>11.675564437149985</v>
      </c>
      <c r="K126" s="32">
        <f t="shared" si="38"/>
        <v>0.17316938539201238</v>
      </c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1:24" x14ac:dyDescent="0.25">
      <c r="A127" s="105"/>
      <c r="B127" s="4">
        <f>IF(B126-D126+G126-(B126*($B$13+$H$13))+(C126*($C$13))&lt;0,0,B126-D126+G126-(B126*($B$13+$H$13))+(C126*($C$13)))</f>
        <v>16.925479267576414</v>
      </c>
      <c r="C127" s="4">
        <f>IF(C126-E126+H126-(C126*($C$14+$I$14))+(B126*($B$14))&lt;0,0,C126-E126+H126-(C126*($C$14+$I$14))+(B126*($B$14)))</f>
        <v>47.420285908747935</v>
      </c>
      <c r="D127" s="4">
        <f>$D$15*B127</f>
        <v>1.6925479267576415</v>
      </c>
      <c r="E127" s="4">
        <f>$E$15*C127</f>
        <v>7.1130428863121899</v>
      </c>
      <c r="F127" s="4">
        <f t="shared" si="39"/>
        <v>144.57630995423116</v>
      </c>
      <c r="G127" s="4">
        <f>$F$15*F126</f>
        <v>4.0731215742348397</v>
      </c>
      <c r="H127" s="4">
        <f>$G$15*F126</f>
        <v>6.7885359570580661</v>
      </c>
      <c r="I127" s="4">
        <f>$H$15*B127+$I$15*C127</f>
        <v>4.4356333264863794</v>
      </c>
      <c r="J127" s="4">
        <f t="shared" si="40"/>
        <v>16.111197763636365</v>
      </c>
      <c r="K127" s="32">
        <f t="shared" si="38"/>
        <v>0.25038474124112814</v>
      </c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 spans="1:24" x14ac:dyDescent="0.25">
      <c r="A128" s="8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9" t="s">
        <v>129</v>
      </c>
      <c r="M128" s="8"/>
      <c r="N128" s="9" t="str">
        <f>"Coninuing Since  "&amp;$A$18</f>
        <v>Coninuing Since  New Fall 2022</v>
      </c>
      <c r="O128" s="8"/>
      <c r="P128" s="8"/>
      <c r="Q128" s="11" t="s">
        <v>130</v>
      </c>
      <c r="R128" s="13"/>
      <c r="S128" s="13"/>
      <c r="T128" s="13"/>
      <c r="U128" s="13"/>
      <c r="V128" s="13"/>
      <c r="W128" s="13"/>
      <c r="X128" s="13"/>
    </row>
    <row r="129" spans="1:24" x14ac:dyDescent="0.25">
      <c r="A129" s="11" t="str">
        <f>$A$17</f>
        <v>Semester</v>
      </c>
      <c r="B129" s="12" t="s">
        <v>85</v>
      </c>
      <c r="C129" s="12" t="s">
        <v>86</v>
      </c>
      <c r="D129" s="12" t="s">
        <v>96</v>
      </c>
      <c r="E129" s="12" t="s">
        <v>95</v>
      </c>
      <c r="F129" s="12" t="s">
        <v>87</v>
      </c>
      <c r="G129" s="12" t="s">
        <v>97</v>
      </c>
      <c r="H129" s="12" t="s">
        <v>98</v>
      </c>
      <c r="I129" s="12" t="s">
        <v>84</v>
      </c>
      <c r="J129" s="12" t="s">
        <v>88</v>
      </c>
      <c r="K129" s="12" t="s">
        <v>99</v>
      </c>
      <c r="L129" s="12" t="s">
        <v>103</v>
      </c>
      <c r="M129" s="12" t="s">
        <v>104</v>
      </c>
      <c r="N129" s="12" t="s">
        <v>103</v>
      </c>
      <c r="O129" s="12" t="s">
        <v>104</v>
      </c>
      <c r="P129" s="12" t="s">
        <v>103</v>
      </c>
      <c r="Q129" s="12" t="s">
        <v>104</v>
      </c>
      <c r="R129" s="13"/>
      <c r="S129" s="13"/>
      <c r="T129" s="13"/>
      <c r="U129" s="13"/>
      <c r="V129" s="13"/>
      <c r="W129" s="13"/>
      <c r="X129" s="13"/>
    </row>
    <row r="130" spans="1:24" x14ac:dyDescent="0.25">
      <c r="A130" s="11" t="str">
        <f>"New "&amp;$A$26</f>
        <v>New Fall 2026</v>
      </c>
      <c r="B130" s="97">
        <f>Enrollment!G3</f>
        <v>307.39072319999997</v>
      </c>
      <c r="C130" s="97">
        <f>Enrollment!G7</f>
        <v>67.241720700000002</v>
      </c>
      <c r="D130" s="4">
        <f>$D$4*B130</f>
        <v>30.739072319999998</v>
      </c>
      <c r="E130" s="4">
        <f>$E$4*C130</f>
        <v>10.086258105000001</v>
      </c>
      <c r="F130" s="4">
        <f>D130+E130</f>
        <v>40.825330424999997</v>
      </c>
      <c r="G130" s="4">
        <v>0</v>
      </c>
      <c r="H130" s="4">
        <v>0</v>
      </c>
      <c r="I130" s="4">
        <f>$H$4*B130+$I$4*C130</f>
        <v>0</v>
      </c>
      <c r="J130" s="4">
        <f>I130</f>
        <v>0</v>
      </c>
      <c r="K130" s="32">
        <f>J130/(B130+C130)</f>
        <v>0</v>
      </c>
      <c r="L130" s="4">
        <f>L184</f>
        <v>146.29490743472286</v>
      </c>
      <c r="M130" s="4">
        <f>M184</f>
        <v>396.35217988702362</v>
      </c>
      <c r="N130" s="6">
        <f>B117+B104+B92+B79+B66+B53+B40+B27</f>
        <v>560.76357941022047</v>
      </c>
      <c r="O130" s="6">
        <f>C117+C104+C92+C79+C66+C53+C40+C27</f>
        <v>739.34637014227098</v>
      </c>
      <c r="P130" s="6">
        <f>L130+N130</f>
        <v>707.05848684494333</v>
      </c>
      <c r="Q130" s="6">
        <f>M130+O130</f>
        <v>1135.6985500292947</v>
      </c>
      <c r="R130" s="13"/>
      <c r="S130" s="13"/>
      <c r="T130" s="13"/>
      <c r="U130" s="13"/>
      <c r="V130" s="13"/>
      <c r="W130" s="13"/>
      <c r="X130" s="13"/>
    </row>
    <row r="131" spans="1:24" x14ac:dyDescent="0.25">
      <c r="A131" s="11" t="str">
        <f>$A$27</f>
        <v>Spring 2026</v>
      </c>
      <c r="B131" s="4">
        <f>IF(B130-D130+G130-(B130*($B$4+$H$4))+(C130*($C$4))&lt;0,0,B130-D130+G130-(B130*($B$4+$H$4))+(C130*($C$4)))</f>
        <v>221.89767831</v>
      </c>
      <c r="C131" s="4">
        <f>IF(C130-E130+H130-(C130*($C$4+$I$4))+(B130*($B$4))&lt;0,0,C130-E130+H130-(C130*($C$4+$I$4))+(B130*($B$4)))</f>
        <v>111.90943516499999</v>
      </c>
      <c r="D131" s="4">
        <f>$D$5*B131</f>
        <v>22.189767831000001</v>
      </c>
      <c r="E131" s="4">
        <f>$E$5*C131</f>
        <v>16.786415274749999</v>
      </c>
      <c r="F131" s="4">
        <f>F130+D131+E131</f>
        <v>79.80151353075</v>
      </c>
      <c r="G131" s="4">
        <f>$F$5*F130</f>
        <v>0.40825330425</v>
      </c>
      <c r="H131" s="4">
        <f>$G$5*F130</f>
        <v>0.81650660850000001</v>
      </c>
      <c r="I131" s="4">
        <f>$H$5*B131+$I$5*C131</f>
        <v>0</v>
      </c>
      <c r="J131" s="4">
        <f>J130+I131</f>
        <v>0</v>
      </c>
      <c r="K131" s="32">
        <f t="shared" ref="K131:K141" si="41">J131/(B131+C131)</f>
        <v>0</v>
      </c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 spans="1:24" x14ac:dyDescent="0.25">
      <c r="A132" s="11" t="str">
        <f>"New "&amp;$A$28</f>
        <v>New Fall 2027</v>
      </c>
      <c r="B132" s="4">
        <f>IF(B131-D131+G131-(B131*($B$5+$H$5))+(C131*($C$5))&lt;0,0,B131-D131+G131-(B131*($B$5+$H$5))+(C131*($C$5)))</f>
        <v>164.70859485464999</v>
      </c>
      <c r="C132" s="4">
        <f>IF(C131-E131+H131-(C131*($C$5+$I$5))+(B131*($B$5))&lt;0,0,C131-E131+H131-(C131*($C$5+$I$5))+(B131*($B$5)))</f>
        <v>131.34709542734998</v>
      </c>
      <c r="D132" s="4">
        <f>$D$6*B132</f>
        <v>16.470859485464999</v>
      </c>
      <c r="E132" s="4">
        <f>$E$6*C132</f>
        <v>19.702064314102497</v>
      </c>
      <c r="F132" s="4">
        <f t="shared" ref="F132:F141" si="42">F131+D132+E132</f>
        <v>115.9744373303175</v>
      </c>
      <c r="G132" s="4">
        <f>$F$6*F131</f>
        <v>1.596030270615</v>
      </c>
      <c r="H132" s="4">
        <f>$G$6*F131</f>
        <v>2.3940454059224998</v>
      </c>
      <c r="I132" s="4">
        <f>$H$6*B132+$I$6*C132</f>
        <v>0</v>
      </c>
      <c r="J132" s="4">
        <f t="shared" ref="J132:J141" si="43">J131+I132</f>
        <v>0</v>
      </c>
      <c r="K132" s="32">
        <f t="shared" si="41"/>
        <v>0</v>
      </c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 spans="1:24" x14ac:dyDescent="0.25">
      <c r="A133" s="11" t="str">
        <f>$A$29</f>
        <v>Spring 2027</v>
      </c>
      <c r="B133" s="4">
        <f>IF(B132-D132+G132-(B132*($B$6+$H$6))+(C132*($C$6))&lt;0,0,B132-D132+G132-(B132*($B$6+$H$6))+(C132*($C$6)))</f>
        <v>126.73258431451195</v>
      </c>
      <c r="C133" s="4">
        <f>IF(C132-E132+H132-(C132*($C$6+$I$6))+(B132*($B$6))&lt;0,0,C132-E132+H132-(C132*($C$6+$I$6))+(B132*($B$6)))</f>
        <v>137.14025784445798</v>
      </c>
      <c r="D133" s="4">
        <f>$D$7*B133</f>
        <v>12.673258431451195</v>
      </c>
      <c r="E133" s="4">
        <f>$E$7*C133</f>
        <v>20.571038676668696</v>
      </c>
      <c r="F133" s="4">
        <f t="shared" si="42"/>
        <v>149.21873443843739</v>
      </c>
      <c r="G133" s="4">
        <f>$F$7*F132</f>
        <v>3.4792331199095248</v>
      </c>
      <c r="H133" s="4">
        <f>$G$7*F132</f>
        <v>4.6389774932126997</v>
      </c>
      <c r="I133" s="4">
        <f>$H$7*B133+$I$7*C133</f>
        <v>0</v>
      </c>
      <c r="J133" s="4">
        <f t="shared" si="43"/>
        <v>0</v>
      </c>
      <c r="K133" s="32">
        <f t="shared" si="41"/>
        <v>0</v>
      </c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1:24" x14ac:dyDescent="0.25">
      <c r="A134" s="105"/>
      <c r="B134" s="4">
        <f>IF(B133-D133+G133-(B133*($B$7+$H$7))+(C133*($C$7))&lt;0,0,B133-D133+G133-(B133*($B$7+$H$7))+(C133*($C$7)))</f>
        <v>102.10409039507832</v>
      </c>
      <c r="C134" s="4">
        <f>IF(C133-E133+H133-(C133*($C$7+$I$7))+(B133*($B$7))&lt;0,0,C133-E133+H133-(C133*($C$7+$I$7))+(B133*($B$7)))</f>
        <v>136.64266526889392</v>
      </c>
      <c r="D134" s="4">
        <f>$D$8*B134</f>
        <v>10.210409039507832</v>
      </c>
      <c r="E134" s="4">
        <f>$E$8*C134</f>
        <v>20.496399790334088</v>
      </c>
      <c r="F134" s="4">
        <f t="shared" si="42"/>
        <v>179.92554326827931</v>
      </c>
      <c r="G134" s="4">
        <f>$F$8*F133</f>
        <v>4.4765620331531215</v>
      </c>
      <c r="H134" s="4">
        <f>$G$8*F133</f>
        <v>7.4609367219218701</v>
      </c>
      <c r="I134" s="4">
        <f>$H$8*B134+$I$8*C134</f>
        <v>0</v>
      </c>
      <c r="J134" s="4">
        <f t="shared" si="43"/>
        <v>0</v>
      </c>
      <c r="K134" s="32">
        <f t="shared" si="41"/>
        <v>0</v>
      </c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1:24" x14ac:dyDescent="0.25">
      <c r="A135" s="105"/>
      <c r="B135" s="4">
        <f>IF(B134-D134+G134-(B134*($B$8+$H$8))+(C134*($C$8))&lt;0,0,B134-D134+G134-(B134*($B$8+$H$8))+(C134*($C$8)))</f>
        <v>85.529528220794191</v>
      </c>
      <c r="C135" s="4">
        <f>IF(C134-E134+H134-(C134*($C$8+$I$8))+(B134*($B$8))&lt;0,0,C134-E134+H134-(C134*($C$8+$I$8))+(B134*($B$8)))</f>
        <v>134.44791736841108</v>
      </c>
      <c r="D135" s="4">
        <f>$D$9*B135</f>
        <v>8.5529528220794191</v>
      </c>
      <c r="E135" s="4">
        <f>$E$9*C135</f>
        <v>20.167187605261663</v>
      </c>
      <c r="F135" s="4">
        <f t="shared" si="42"/>
        <v>208.64568369562039</v>
      </c>
      <c r="G135" s="4">
        <f>$F$9*F134</f>
        <v>5.3977662980483796</v>
      </c>
      <c r="H135" s="4">
        <f>$G$9*F134</f>
        <v>8.996277163413966</v>
      </c>
      <c r="I135" s="4">
        <f>$H$9*B135+$I$9*C135</f>
        <v>0</v>
      </c>
      <c r="J135" s="4">
        <f t="shared" si="43"/>
        <v>0</v>
      </c>
      <c r="K135" s="32">
        <f t="shared" si="41"/>
        <v>0</v>
      </c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1:24" x14ac:dyDescent="0.25">
      <c r="A136" s="105"/>
      <c r="B136" s="4">
        <f>IF(B135-D135+G135-(B135*($B$9+$H$9))+(C135*($C$9))&lt;0,0,B135-D135+G135-(B135*($B$9+$H$9))+(C135*($C$9)))</f>
        <v>74.436751378405717</v>
      </c>
      <c r="C136" s="4">
        <f>IF(C135-E135+H135-(C135*($C$9+$I$9))+(B135*($B$9))&lt;0,0,C135-E135+H135-(C135*($C$9+$I$9))+(B135*($B$9)))</f>
        <v>131.21459724492081</v>
      </c>
      <c r="D136" s="4">
        <f>$D$10*B136</f>
        <v>7.4436751378405717</v>
      </c>
      <c r="E136" s="4">
        <f>$E$10*C136</f>
        <v>19.682189586738122</v>
      </c>
      <c r="F136" s="4">
        <f t="shared" si="42"/>
        <v>235.77154842019908</v>
      </c>
      <c r="G136" s="4">
        <f>$F$10*F135</f>
        <v>6.2593705108686111</v>
      </c>
      <c r="H136" s="4">
        <f>$G$10*F135</f>
        <v>10.43228418478102</v>
      </c>
      <c r="I136" s="4">
        <f>$H$10*B136+$I$10*C136</f>
        <v>0.74436751378405719</v>
      </c>
      <c r="J136" s="4">
        <f t="shared" si="43"/>
        <v>0.74436751378405719</v>
      </c>
      <c r="K136" s="32">
        <f t="shared" si="41"/>
        <v>3.6195605755421018E-3</v>
      </c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 spans="1:24" x14ac:dyDescent="0.25">
      <c r="A137" s="105"/>
      <c r="B137" s="4">
        <f>IF(B136-D136+G136-(B136*($B$10+$H$10))+(C136*($C$10))&lt;0,0,B136-D136+G136-(B136*($B$10+$H$10))+(C136*($C$10)))</f>
        <v>66.275983603756288</v>
      </c>
      <c r="C137" s="4">
        <f>IF(C136-E136+H136-(C136*($C$10+$I$10))+(B136*($B$10))&lt;0,0,C136-E136+H136-(C136*($C$10+$I$10))+(B136*($B$10)))</f>
        <v>128.19678747685711</v>
      </c>
      <c r="D137" s="4">
        <f>$D$11*B137</f>
        <v>6.6275983603756288</v>
      </c>
      <c r="E137" s="4">
        <f>$E$11*C137</f>
        <v>19.229518121528567</v>
      </c>
      <c r="F137" s="4">
        <f t="shared" si="42"/>
        <v>261.62866490210325</v>
      </c>
      <c r="G137" s="4">
        <f>$F$11*F136</f>
        <v>7.0731464526059726</v>
      </c>
      <c r="H137" s="4">
        <f>$G$11*F136</f>
        <v>11.788577421009954</v>
      </c>
      <c r="I137" s="4">
        <f>$H$11*B137+$I$11*C137</f>
        <v>1.3255196720751259</v>
      </c>
      <c r="J137" s="4">
        <f t="shared" si="43"/>
        <v>2.0698871858591832</v>
      </c>
      <c r="K137" s="32">
        <f t="shared" si="41"/>
        <v>1.0643583543123206E-2</v>
      </c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1:24" x14ac:dyDescent="0.25">
      <c r="A138" s="105"/>
      <c r="B138" s="4">
        <f>IF(B137-D137+G137-(B137*($B$11+$H$11))+(C137*($C$11))&lt;0,0,B137-D137+G137-(B137*($B$11+$H$11))+(C137*($C$11)))</f>
        <v>60.32117519858302</v>
      </c>
      <c r="C138" s="4">
        <f>IF(C137-E137+H137-(C137*($C$11+$I$11))+(B137*($B$11))&lt;0,0,C137-E137+H137-(C137*($C$11+$I$11))+(B137*($B$11)))</f>
        <v>125.83068360166699</v>
      </c>
      <c r="D138" s="4">
        <f>$D$12*B138</f>
        <v>6.0321175198583026</v>
      </c>
      <c r="E138" s="4">
        <f>$E$12*C138</f>
        <v>18.874602540250049</v>
      </c>
      <c r="F138" s="4">
        <f t="shared" si="42"/>
        <v>286.53538496221159</v>
      </c>
      <c r="G138" s="4">
        <f>$F$12*F137</f>
        <v>7.8488599470630973</v>
      </c>
      <c r="H138" s="4">
        <f>$G$12*F137</f>
        <v>13.081433245105163</v>
      </c>
      <c r="I138" s="4">
        <f>$H$12*B138+$I$12*C138</f>
        <v>9.0481762797874534</v>
      </c>
      <c r="J138" s="4">
        <f t="shared" si="43"/>
        <v>11.118063465646637</v>
      </c>
      <c r="K138" s="32">
        <f t="shared" si="41"/>
        <v>5.9725771943952809E-2</v>
      </c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1:24" x14ac:dyDescent="0.25">
      <c r="A139" s="105"/>
      <c r="B139" s="4">
        <f>IF(B138-D138+G138-(B138*($B$12+$H$12))+(C138*($C$12))&lt;0,0,B138-D138+G138-(B138*($B$12+$H$12))+(C138*($C$12)))</f>
        <v>48.782880650563811</v>
      </c>
      <c r="C139" s="4">
        <f>IF(C138-E138+H138-(C138*($C$12+$I$12))+(B138*($B$12))&lt;0,0,C138-E138+H138-(C138*($C$12+$I$12))+(B138*($B$12)))</f>
        <v>124.34437500195865</v>
      </c>
      <c r="D139" s="4">
        <f>$D$13*B139</f>
        <v>4.8782880650563811</v>
      </c>
      <c r="E139" s="4">
        <f>$E$13*C139</f>
        <v>18.651656250293797</v>
      </c>
      <c r="F139" s="4">
        <f t="shared" si="42"/>
        <v>310.06532927756177</v>
      </c>
      <c r="G139" s="4">
        <f>$F$13*F138</f>
        <v>8.5960615488663468</v>
      </c>
      <c r="H139" s="4">
        <f>$G$13*F138</f>
        <v>14.32676924811058</v>
      </c>
      <c r="I139" s="4">
        <f>$H$13*B139+$I$13*C139</f>
        <v>7.3174320975845717</v>
      </c>
      <c r="J139" s="4">
        <f t="shared" si="43"/>
        <v>18.435495563231207</v>
      </c>
      <c r="K139" s="32">
        <f t="shared" si="41"/>
        <v>0.10648522957143404</v>
      </c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 spans="1:24" x14ac:dyDescent="0.25">
      <c r="A140" s="105"/>
      <c r="B140" s="4">
        <f>IF(B139-D139+G139-(B139*($B$13+$H$13))+(C139*($C$13))&lt;0,0,B139-D139+G139-(B139*($B$13+$H$13))+(C139*($C$13)))</f>
        <v>43.470624148321562</v>
      </c>
      <c r="C140" s="4">
        <f>IF(C139-E139+H139-(C139*($C$13+$I$13))+(B139*($B$13))&lt;0,0,C139-E139+H139-(C139*($C$13+$I$13))+(B139*($B$13)))</f>
        <v>121.73208588824306</v>
      </c>
      <c r="D140" s="4">
        <f>$D$14*B140</f>
        <v>4.3470624148321564</v>
      </c>
      <c r="E140" s="4">
        <f>$E$14*C140</f>
        <v>18.25981288323646</v>
      </c>
      <c r="F140" s="4">
        <f t="shared" si="42"/>
        <v>332.67220457563042</v>
      </c>
      <c r="G140" s="4">
        <f>$F$14*F139</f>
        <v>9.3019598783268531</v>
      </c>
      <c r="H140" s="4">
        <f>$G$14*F139</f>
        <v>15.50326646387809</v>
      </c>
      <c r="I140" s="4">
        <f>$H$14*B140+$I$14*C140</f>
        <v>10.172556198895526</v>
      </c>
      <c r="J140" s="4">
        <f t="shared" si="43"/>
        <v>28.608051762126735</v>
      </c>
      <c r="K140" s="32">
        <f t="shared" si="41"/>
        <v>0.1731693853920124</v>
      </c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 spans="1:24" x14ac:dyDescent="0.25">
      <c r="A141" s="105"/>
      <c r="B141" s="4">
        <f>IF(B140-D140+G140-(B140*($B$13+$H$13))+(C140*($C$13))&lt;0,0,B140-D140+G140-(B140*($B$13+$H$13))+(C140*($C$13)))</f>
        <v>41.471655575379081</v>
      </c>
      <c r="C141" s="4">
        <f>IF(C140-E140+H140-(C140*($C$14+$I$14))+(B140*($B$14))&lt;0,0,C140-E140+H140-(C140*($C$14+$I$14))+(B140*($B$14)))</f>
        <v>116.19155554790956</v>
      </c>
      <c r="D141" s="4">
        <f>$D$15*B141</f>
        <v>4.1471655575379085</v>
      </c>
      <c r="E141" s="4">
        <f>$E$15*C141</f>
        <v>17.428733332186432</v>
      </c>
      <c r="F141" s="4">
        <f t="shared" si="42"/>
        <v>354.24810346535475</v>
      </c>
      <c r="G141" s="4">
        <f>$F$15*F140</f>
        <v>9.9801661372689114</v>
      </c>
      <c r="H141" s="4">
        <f>$G$15*F140</f>
        <v>16.633610228781521</v>
      </c>
      <c r="I141" s="4">
        <f>$H$15*B141+$I$15*C141</f>
        <v>10.868410558223244</v>
      </c>
      <c r="J141" s="4">
        <f t="shared" si="43"/>
        <v>39.476462320349981</v>
      </c>
      <c r="K141" s="32">
        <f t="shared" si="41"/>
        <v>0.25038474124112814</v>
      </c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 spans="1:24" x14ac:dyDescent="0.25">
      <c r="A142" s="8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9" t="s">
        <v>129</v>
      </c>
      <c r="M142" s="8"/>
      <c r="N142" s="9" t="str">
        <f>"Coninuing Since  "&amp;$A$18</f>
        <v>Coninuing Since  New Fall 2022</v>
      </c>
      <c r="O142" s="8"/>
      <c r="P142" s="8"/>
      <c r="Q142" s="11" t="s">
        <v>130</v>
      </c>
      <c r="R142" s="13"/>
      <c r="S142" s="13"/>
      <c r="T142" s="13"/>
      <c r="U142" s="13"/>
      <c r="V142" s="13"/>
      <c r="W142" s="13"/>
      <c r="X142" s="13"/>
    </row>
    <row r="143" spans="1:24" x14ac:dyDescent="0.25">
      <c r="A143" s="11" t="str">
        <f>$A$17</f>
        <v>Semester</v>
      </c>
      <c r="B143" s="12" t="s">
        <v>85</v>
      </c>
      <c r="C143" s="12" t="s">
        <v>86</v>
      </c>
      <c r="D143" s="12" t="s">
        <v>96</v>
      </c>
      <c r="E143" s="12" t="s">
        <v>95</v>
      </c>
      <c r="F143" s="12" t="s">
        <v>87</v>
      </c>
      <c r="G143" s="12" t="s">
        <v>97</v>
      </c>
      <c r="H143" s="12" t="s">
        <v>98</v>
      </c>
      <c r="I143" s="12" t="s">
        <v>84</v>
      </c>
      <c r="J143" s="12" t="s">
        <v>88</v>
      </c>
      <c r="K143" s="12" t="s">
        <v>99</v>
      </c>
      <c r="L143" s="12" t="s">
        <v>103</v>
      </c>
      <c r="M143" s="12" t="s">
        <v>104</v>
      </c>
      <c r="N143" s="12" t="s">
        <v>103</v>
      </c>
      <c r="O143" s="12" t="s">
        <v>104</v>
      </c>
      <c r="P143" s="12" t="s">
        <v>103</v>
      </c>
      <c r="Q143" s="12" t="s">
        <v>104</v>
      </c>
      <c r="R143" s="13"/>
      <c r="S143" s="13"/>
      <c r="T143" s="13"/>
      <c r="U143" s="13"/>
      <c r="V143" s="13"/>
      <c r="W143" s="13"/>
      <c r="X143" s="13"/>
    </row>
    <row r="144" spans="1:24" x14ac:dyDescent="0.25">
      <c r="A144" s="11" t="str">
        <f>"New "&amp;$A$27</f>
        <v>New Spring 2026</v>
      </c>
      <c r="B144" s="97">
        <f>Enrollment!G4</f>
        <v>122.95628927999999</v>
      </c>
      <c r="C144" s="97">
        <f>Enrollment!G8</f>
        <v>26.896688280000003</v>
      </c>
      <c r="D144" s="4">
        <f>$D$4*B144</f>
        <v>12.295628927999999</v>
      </c>
      <c r="E144" s="4">
        <f>$E$4*C144</f>
        <v>4.0345032420000004</v>
      </c>
      <c r="F144" s="4">
        <f>D144+E144</f>
        <v>16.330132169999999</v>
      </c>
      <c r="G144" s="4">
        <v>0</v>
      </c>
      <c r="H144" s="4">
        <v>0</v>
      </c>
      <c r="I144" s="4">
        <f>$H$4*B144+$I$4*C144</f>
        <v>0</v>
      </c>
      <c r="J144" s="4">
        <f>I144</f>
        <v>0</v>
      </c>
      <c r="K144" s="32">
        <f>J144/(B144+C144)</f>
        <v>0</v>
      </c>
      <c r="L144" s="4">
        <f>L185</f>
        <v>92.947819181728988</v>
      </c>
      <c r="M144" s="4">
        <f>M185</f>
        <v>260.33071126214656</v>
      </c>
      <c r="N144" s="6">
        <f>B131+B118+B105+B93+B80+B67+B54+B41+StuFlow!B28</f>
        <v>683.04298640522222</v>
      </c>
      <c r="O144" s="6">
        <f>C131+C118+C105+C93+C80+C67+C54+C41+StuFlow!C28</f>
        <v>853.82475825480697</v>
      </c>
      <c r="P144" s="6">
        <f>L144+N144</f>
        <v>775.99080558695118</v>
      </c>
      <c r="Q144" s="6">
        <f>M144+O144</f>
        <v>1114.1554695169534</v>
      </c>
      <c r="R144" s="13"/>
      <c r="S144" s="13"/>
      <c r="T144" s="13"/>
      <c r="U144" s="13"/>
      <c r="V144" s="13"/>
      <c r="W144" s="13"/>
      <c r="X144" s="13"/>
    </row>
    <row r="145" spans="1:24" x14ac:dyDescent="0.25">
      <c r="A145" s="11" t="str">
        <f>$A$28</f>
        <v>Fall 2027</v>
      </c>
      <c r="B145" s="4">
        <f>IF(B144-D144+G144-(B144*($B$4+$H$4))+(C144*($C$4))&lt;0,0,B144-D144+G144-(B144*($B$4+$H$4))+(C144*($C$4)))</f>
        <v>88.75907132399999</v>
      </c>
      <c r="C145" s="4">
        <f>IF(C144-E144+H144-(C144*($C$4+$I$4))+(B144*($B$4))&lt;0,0,C144-E144+H144-(C144*($C$4+$I$4))+(B144*($B$4)))</f>
        <v>44.763774066000003</v>
      </c>
      <c r="D145" s="4">
        <f>$D$5*B145</f>
        <v>8.8759071324000001</v>
      </c>
      <c r="E145" s="4">
        <f>$E$5*C145</f>
        <v>6.7145661099000007</v>
      </c>
      <c r="F145" s="4">
        <f>F144+D145+E145</f>
        <v>31.920605412300002</v>
      </c>
      <c r="G145" s="4">
        <f>$F$5*F144</f>
        <v>0.1633013217</v>
      </c>
      <c r="H145" s="4">
        <f>$G$5*F144</f>
        <v>0.3266026434</v>
      </c>
      <c r="I145" s="4">
        <f>$H$5*B145+$I$5*C145</f>
        <v>0</v>
      </c>
      <c r="J145" s="4">
        <f>J144+I145</f>
        <v>0</v>
      </c>
      <c r="K145" s="32">
        <f t="shared" ref="K145:K155" si="44">J145/(B145+C145)</f>
        <v>0</v>
      </c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</row>
    <row r="146" spans="1:24" x14ac:dyDescent="0.25">
      <c r="A146" s="11" t="str">
        <f>$A$29</f>
        <v>Spring 2027</v>
      </c>
      <c r="B146" s="4">
        <f>IF(B145-D145+G145-(B145*($B$5+$H$5))+(C145*($C$5))&lt;0,0,B145-D145+G145-(B145*($B$5+$H$5))+(C145*($C$5)))</f>
        <v>65.883437941859995</v>
      </c>
      <c r="C146" s="4">
        <f>IF(C145-E145+H145-(C145*($C$5+$I$5))+(B145*($B$5))&lt;0,0,C145-E145+H145-(C145*($C$5+$I$5))+(B145*($B$5)))</f>
        <v>52.538838170940004</v>
      </c>
      <c r="D146" s="4">
        <f>$D$6*B146</f>
        <v>6.5883437941859997</v>
      </c>
      <c r="E146" s="4">
        <f>$E$6*C146</f>
        <v>7.8808257256410004</v>
      </c>
      <c r="F146" s="4">
        <f t="shared" ref="F146:F155" si="45">F145+D146+E146</f>
        <v>46.389774932127004</v>
      </c>
      <c r="G146" s="4">
        <f>$F$6*F145</f>
        <v>0.63841210824600003</v>
      </c>
      <c r="H146" s="4">
        <f>$G$6*F145</f>
        <v>0.95761816236899999</v>
      </c>
      <c r="I146" s="4">
        <f>$H$6*B146+$I$6*C146</f>
        <v>0</v>
      </c>
      <c r="J146" s="4">
        <f t="shared" ref="J146:J155" si="46">J145+I146</f>
        <v>0</v>
      </c>
      <c r="K146" s="32">
        <f t="shared" si="44"/>
        <v>0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</row>
    <row r="147" spans="1:24" x14ac:dyDescent="0.25">
      <c r="A147" s="105"/>
      <c r="B147" s="4">
        <f>IF(B146-D146+G146-(B146*($B$6+$H$6))+(C146*($C$6))&lt;0,0,B146-D146+G146-(B146*($B$6+$H$6))+(C146*($C$6)))</f>
        <v>50.693033725804796</v>
      </c>
      <c r="C147" s="4">
        <f>IF(C146-E146+H146-(C146*($C$6+$I$6))+(B146*($B$6))&lt;0,0,C146-E146+H146-(C146*($C$6+$I$6))+(B146*($B$6)))</f>
        <v>54.856103137783201</v>
      </c>
      <c r="D147" s="4">
        <f>$D$7*B147</f>
        <v>5.0693033725804799</v>
      </c>
      <c r="E147" s="4">
        <f>$E$7*C147</f>
        <v>8.2284154706674801</v>
      </c>
      <c r="F147" s="4">
        <f t="shared" si="45"/>
        <v>59.687493775374961</v>
      </c>
      <c r="G147" s="4">
        <f>$F$7*F146</f>
        <v>1.39169324796381</v>
      </c>
      <c r="H147" s="4">
        <f>$G$7*F146</f>
        <v>1.8555909972850801</v>
      </c>
      <c r="I147" s="4">
        <f>$H$7*B147+$I$7*C147</f>
        <v>0</v>
      </c>
      <c r="J147" s="4">
        <f t="shared" si="46"/>
        <v>0</v>
      </c>
      <c r="K147" s="32">
        <f t="shared" si="44"/>
        <v>0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</row>
    <row r="148" spans="1:24" x14ac:dyDescent="0.25">
      <c r="A148" s="105"/>
      <c r="B148" s="4">
        <f>IF(B147-D147+G147-(B147*($B$7+$H$7))+(C147*($C$7))&lt;0,0,B147-D147+G147-(B147*($B$7+$H$7))+(C147*($C$7)))</f>
        <v>40.841636158031349</v>
      </c>
      <c r="C148" s="4">
        <f>IF(C147-E147+H147-(C147*($C$7+$I$7))+(B147*($B$7))&lt;0,0,C147-E147+H147-(C147*($C$7+$I$7))+(B147*($B$7)))</f>
        <v>54.657066107557583</v>
      </c>
      <c r="D148" s="4">
        <f>$D$8*B148</f>
        <v>4.0841636158031349</v>
      </c>
      <c r="E148" s="4">
        <f>$E$8*C148</f>
        <v>8.1985599161336378</v>
      </c>
      <c r="F148" s="4">
        <f t="shared" si="45"/>
        <v>71.970217307311728</v>
      </c>
      <c r="G148" s="4">
        <f>$F$8*F147</f>
        <v>1.7906248132612488</v>
      </c>
      <c r="H148" s="4">
        <f>$G$8*F147</f>
        <v>2.9843746887687481</v>
      </c>
      <c r="I148" s="4">
        <f>$H$8*B148+$I$8*C148</f>
        <v>0</v>
      </c>
      <c r="J148" s="4">
        <f t="shared" si="46"/>
        <v>0</v>
      </c>
      <c r="K148" s="32">
        <f t="shared" si="44"/>
        <v>0</v>
      </c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</row>
    <row r="149" spans="1:24" x14ac:dyDescent="0.25">
      <c r="A149" s="105"/>
      <c r="B149" s="4">
        <f>IF(B148-D148+G148-(B148*($B$8+$H$8))+(C148*($C$8))&lt;0,0,B148-D148+G148-(B148*($B$8+$H$8))+(C148*($C$8)))</f>
        <v>34.211811288317698</v>
      </c>
      <c r="C149" s="4">
        <f>IF(C148-E148+H148-(C148*($C$8+$I$8))+(B148*($B$8))&lt;0,0,C148-E148+H148-(C148*($C$8+$I$8))+(B148*($B$8)))</f>
        <v>53.779166947364452</v>
      </c>
      <c r="D149" s="4">
        <f>$D$9*B149</f>
        <v>3.4211811288317699</v>
      </c>
      <c r="E149" s="4">
        <f>$E$9*C149</f>
        <v>8.0668750421046678</v>
      </c>
      <c r="F149" s="4">
        <f t="shared" si="45"/>
        <v>83.458273478248174</v>
      </c>
      <c r="G149" s="4">
        <f>$F$9*F148</f>
        <v>2.1591065192193519</v>
      </c>
      <c r="H149" s="4">
        <f>$G$9*F148</f>
        <v>3.5985108653655864</v>
      </c>
      <c r="I149" s="4">
        <f>$H$9*B149+$I$9*C149</f>
        <v>0</v>
      </c>
      <c r="J149" s="4">
        <f t="shared" si="46"/>
        <v>0</v>
      </c>
      <c r="K149" s="32">
        <f t="shared" si="44"/>
        <v>0</v>
      </c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</row>
    <row r="150" spans="1:24" x14ac:dyDescent="0.25">
      <c r="A150" s="105"/>
      <c r="B150" s="4">
        <f>IF(B149-D149+G149-(B149*($B$9+$H$9))+(C149*($C$9))&lt;0,0,B149-D149+G149-(B149*($B$9+$H$9))+(C149*($C$9)))</f>
        <v>29.774700551362297</v>
      </c>
      <c r="C150" s="4">
        <f>IF(C149-E149+H149-(C149*($C$9+$I$9))+(B149*($B$9))&lt;0,0,C149-E149+H149-(C149*($C$9+$I$9))+(B149*($B$9)))</f>
        <v>52.485838897968357</v>
      </c>
      <c r="D150" s="4">
        <f>$D$10*B150</f>
        <v>2.9774700551362301</v>
      </c>
      <c r="E150" s="4">
        <f>$E$10*C150</f>
        <v>7.872875834695253</v>
      </c>
      <c r="F150" s="4">
        <f t="shared" si="45"/>
        <v>94.308619368079647</v>
      </c>
      <c r="G150" s="4">
        <f>$F$10*F149</f>
        <v>2.503748204347445</v>
      </c>
      <c r="H150" s="4">
        <f>$G$10*F149</f>
        <v>4.1729136739124089</v>
      </c>
      <c r="I150" s="4">
        <f>$H$10*B150+$I$10*C150</f>
        <v>0.29774700551362299</v>
      </c>
      <c r="J150" s="4">
        <f t="shared" si="46"/>
        <v>0.29774700551362299</v>
      </c>
      <c r="K150" s="32">
        <f t="shared" si="44"/>
        <v>3.6195605755421014E-3</v>
      </c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</row>
    <row r="151" spans="1:24" x14ac:dyDescent="0.25">
      <c r="A151" s="105"/>
      <c r="B151" s="4">
        <f>IF(B150-D150+G150-(B150*($B$10+$H$10))+(C150*($C$10))&lt;0,0,B150-D150+G150-(B150*($B$10+$H$10))+(C150*($C$10)))</f>
        <v>26.510393441502529</v>
      </c>
      <c r="C151" s="4">
        <f>IF(C150-E150+H150-(C150*($C$10+$I$10))+(B150*($B$10))&lt;0,0,C150-E150+H150-(C150*($C$10+$I$10))+(B150*($B$10)))</f>
        <v>51.278714990742884</v>
      </c>
      <c r="D151" s="4">
        <f>$D$11*B151</f>
        <v>2.6510393441502531</v>
      </c>
      <c r="E151" s="4">
        <f>$E$11*C151</f>
        <v>7.6918072486114326</v>
      </c>
      <c r="F151" s="4">
        <f t="shared" si="45"/>
        <v>104.65146596084134</v>
      </c>
      <c r="G151" s="4">
        <f>$F$11*F150</f>
        <v>2.8292585810423891</v>
      </c>
      <c r="H151" s="4">
        <f>$G$11*F150</f>
        <v>4.7154309684039823</v>
      </c>
      <c r="I151" s="4">
        <f>$H$11*B151+$I$11*C151</f>
        <v>0.53020786883005055</v>
      </c>
      <c r="J151" s="4">
        <f t="shared" si="46"/>
        <v>0.82795487434367354</v>
      </c>
      <c r="K151" s="32">
        <f t="shared" si="44"/>
        <v>1.0643583543123201E-2</v>
      </c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</row>
    <row r="152" spans="1:24" x14ac:dyDescent="0.25">
      <c r="A152" s="105"/>
      <c r="B152" s="4">
        <f>IF(B151-D151+G151-(B151*($B$11+$H$11))+(C151*($C$11))&lt;0,0,B151-D151+G151-(B151*($B$11+$H$11))+(C151*($C$11)))</f>
        <v>24.128470079433221</v>
      </c>
      <c r="C152" s="4">
        <f>IF(C151-E151+H151-(C151*($C$11+$I$11))+(B151*($B$11))&lt;0,0,C151-E151+H151-(C151*($C$11+$I$11))+(B151*($B$11)))</f>
        <v>50.332273440666832</v>
      </c>
      <c r="D152" s="4">
        <f>$D$12*B152</f>
        <v>2.4128470079433222</v>
      </c>
      <c r="E152" s="4">
        <f>$E$12*C152</f>
        <v>7.5498410161000242</v>
      </c>
      <c r="F152" s="4">
        <f t="shared" si="45"/>
        <v>114.61415398488468</v>
      </c>
      <c r="G152" s="4">
        <f>$F$12*F151</f>
        <v>3.1395439788252397</v>
      </c>
      <c r="H152" s="4">
        <f>$G$12*F151</f>
        <v>5.2325732980420669</v>
      </c>
      <c r="I152" s="4">
        <f>$H$12*B152+$I$12*C152</f>
        <v>3.6192705119149831</v>
      </c>
      <c r="J152" s="4">
        <f t="shared" si="46"/>
        <v>4.4472253862586566</v>
      </c>
      <c r="K152" s="32">
        <f t="shared" si="44"/>
        <v>5.9725771943952795E-2</v>
      </c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</row>
    <row r="153" spans="1:24" x14ac:dyDescent="0.25">
      <c r="A153" s="105"/>
      <c r="B153" s="4">
        <f>IF(B152-D152+G152-(B152*($B$12+$H$12))+(C152*($C$12))&lt;0,0,B152-D152+G152-(B152*($B$12+$H$12))+(C152*($C$12)))</f>
        <v>19.513152260225535</v>
      </c>
      <c r="C153" s="4">
        <f>IF(C152-E152+H152-(C152*($C$12+$I$12))+(B152*($B$12))&lt;0,0,C152-E152+H152-(C152*($C$12+$I$12))+(B152*($B$12)))</f>
        <v>49.7377500007835</v>
      </c>
      <c r="D153" s="4">
        <f>$D$13*B153</f>
        <v>1.9513152260225537</v>
      </c>
      <c r="E153" s="4">
        <f>$E$13*C153</f>
        <v>7.4606625001175244</v>
      </c>
      <c r="F153" s="4">
        <f t="shared" si="45"/>
        <v>124.02613171102476</v>
      </c>
      <c r="G153" s="4">
        <f>$F$13*F152</f>
        <v>3.4384246195465402</v>
      </c>
      <c r="H153" s="4">
        <f>$G$13*F152</f>
        <v>5.7307076992442347</v>
      </c>
      <c r="I153" s="4">
        <f>$H$13*B153+$I$13*C153</f>
        <v>2.9269728390338301</v>
      </c>
      <c r="J153" s="4">
        <f t="shared" si="46"/>
        <v>7.3741982252924867</v>
      </c>
      <c r="K153" s="32">
        <f t="shared" si="44"/>
        <v>0.10648522957143403</v>
      </c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</row>
    <row r="154" spans="1:24" x14ac:dyDescent="0.25">
      <c r="A154" s="105"/>
      <c r="B154" s="4">
        <f>IF(B153-D153+G153-(B153*($B$13+$H$13))+(C153*($C$13))&lt;0,0,B153-D153+G153-(B153*($B$13+$H$13))+(C153*($C$13)))</f>
        <v>17.38824965932864</v>
      </c>
      <c r="C154" s="4">
        <f>IF(C153-E153+H153-(C153*($C$13+$I$13))+(B153*($B$13))&lt;0,0,C153-E153+H153-(C153*($C$13+$I$13))+(B153*($B$13)))</f>
        <v>48.692834355297272</v>
      </c>
      <c r="D154" s="4">
        <f>$D$14*B154</f>
        <v>1.7388249659328641</v>
      </c>
      <c r="E154" s="4">
        <f>$E$14*C154</f>
        <v>7.3039251532945908</v>
      </c>
      <c r="F154" s="4">
        <f t="shared" si="45"/>
        <v>133.06888183025222</v>
      </c>
      <c r="G154" s="4">
        <f>$F$14*F153</f>
        <v>3.7207839513307426</v>
      </c>
      <c r="H154" s="4">
        <f>$G$14*F153</f>
        <v>6.2013065855512384</v>
      </c>
      <c r="I154" s="4">
        <f>$H$14*B154+$I$14*C154</f>
        <v>4.0690224795582139</v>
      </c>
      <c r="J154" s="4">
        <f t="shared" si="46"/>
        <v>11.443220704850701</v>
      </c>
      <c r="K154" s="32">
        <f t="shared" si="44"/>
        <v>0.17316938539201232</v>
      </c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</row>
    <row r="155" spans="1:24" x14ac:dyDescent="0.25">
      <c r="A155" s="105"/>
      <c r="B155" s="4">
        <f>IF(B154-D154+G154-(B154*($B$13+$H$13))+(C154*($C$13))&lt;0,0,B154-D154+G154-(B154*($B$13+$H$13))+(C154*($C$13)))</f>
        <v>16.588662230151645</v>
      </c>
      <c r="C155" s="4">
        <f>IF(C154-E154+H154-(C154*($C$14+$I$14))+(B154*($B$14))&lt;0,0,C154-E154+H154-(C154*($C$14+$I$14))+(B154*($B$14)))</f>
        <v>46.476622219163858</v>
      </c>
      <c r="D155" s="4">
        <f>$D$15*B155</f>
        <v>1.6588662230151645</v>
      </c>
      <c r="E155" s="4">
        <f>$E$15*C155</f>
        <v>6.9714933328745783</v>
      </c>
      <c r="F155" s="4">
        <f t="shared" si="45"/>
        <v>141.69924138614198</v>
      </c>
      <c r="G155" s="4">
        <f>$F$15*F154</f>
        <v>3.9920664549075666</v>
      </c>
      <c r="H155" s="4">
        <f>$G$15*F154</f>
        <v>6.6534440915126112</v>
      </c>
      <c r="I155" s="4">
        <f>$H$15*B155+$I$15*C155</f>
        <v>4.3473642232893006</v>
      </c>
      <c r="J155" s="4">
        <f t="shared" si="46"/>
        <v>15.790584928140001</v>
      </c>
      <c r="K155" s="32">
        <f t="shared" si="44"/>
        <v>0.25038474124112808</v>
      </c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 spans="1:24" x14ac:dyDescent="0.25">
      <c r="A156" s="8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9" t="s">
        <v>129</v>
      </c>
      <c r="M156" s="8"/>
      <c r="N156" s="9" t="str">
        <f>"Coninuing Since  "&amp;$A$18</f>
        <v>Coninuing Since  New Fall 2022</v>
      </c>
      <c r="O156" s="8"/>
      <c r="P156" s="8"/>
      <c r="Q156" s="11" t="s">
        <v>130</v>
      </c>
      <c r="R156" s="13"/>
      <c r="S156" s="13"/>
      <c r="T156" s="13"/>
      <c r="U156" s="13"/>
      <c r="V156" s="13"/>
      <c r="W156" s="13"/>
      <c r="X156" s="13"/>
    </row>
    <row r="157" spans="1:24" x14ac:dyDescent="0.25">
      <c r="A157" s="11" t="str">
        <f>$A$17</f>
        <v>Semester</v>
      </c>
      <c r="B157" s="12" t="s">
        <v>85</v>
      </c>
      <c r="C157" s="12" t="s">
        <v>86</v>
      </c>
      <c r="D157" s="12" t="s">
        <v>96</v>
      </c>
      <c r="E157" s="12" t="s">
        <v>95</v>
      </c>
      <c r="F157" s="12" t="s">
        <v>87</v>
      </c>
      <c r="G157" s="12" t="s">
        <v>97</v>
      </c>
      <c r="H157" s="12" t="s">
        <v>98</v>
      </c>
      <c r="I157" s="12" t="s">
        <v>84</v>
      </c>
      <c r="J157" s="12" t="s">
        <v>88</v>
      </c>
      <c r="K157" s="12" t="s">
        <v>99</v>
      </c>
      <c r="L157" s="12" t="s">
        <v>103</v>
      </c>
      <c r="M157" s="12" t="s">
        <v>104</v>
      </c>
      <c r="N157" s="12" t="s">
        <v>103</v>
      </c>
      <c r="O157" s="12" t="s">
        <v>104</v>
      </c>
      <c r="P157" s="12" t="s">
        <v>103</v>
      </c>
      <c r="Q157" s="12" t="s">
        <v>104</v>
      </c>
      <c r="R157" s="13"/>
      <c r="S157" s="13"/>
      <c r="T157" s="13"/>
      <c r="U157" s="13"/>
      <c r="V157" s="13"/>
      <c r="W157" s="13"/>
      <c r="X157" s="13"/>
    </row>
    <row r="158" spans="1:24" x14ac:dyDescent="0.25">
      <c r="A158" s="11" t="str">
        <f>"New "&amp;$A$28</f>
        <v>New Fall 2027</v>
      </c>
      <c r="B158" s="97">
        <f>Enrollment!H3</f>
        <v>304.31681596799996</v>
      </c>
      <c r="C158" s="97">
        <f>Enrollment!H7</f>
        <v>66.569303493000007</v>
      </c>
      <c r="D158" s="4">
        <f>$D$4*B158</f>
        <v>30.431681596799997</v>
      </c>
      <c r="E158" s="4">
        <f>$E$4*C158</f>
        <v>9.9853955239500003</v>
      </c>
      <c r="F158" s="4">
        <f>D158+E158</f>
        <v>40.417077120749994</v>
      </c>
      <c r="G158" s="4">
        <v>0</v>
      </c>
      <c r="H158" s="4">
        <v>0</v>
      </c>
      <c r="I158" s="4">
        <f>$H$4*B158+$I$4*C158</f>
        <v>0</v>
      </c>
      <c r="J158" s="4">
        <f>I158</f>
        <v>0</v>
      </c>
      <c r="K158" s="32">
        <f>J158/(B158+C158)</f>
        <v>0</v>
      </c>
      <c r="L158" s="4">
        <f>L186</f>
        <v>45.387242670067373</v>
      </c>
      <c r="M158" s="6">
        <f>M186</f>
        <v>127.1460057787927</v>
      </c>
      <c r="N158" s="6">
        <f>B145+B132+B119+B106+B94+B81+B68+B55+B42+B29</f>
        <v>642.29132048184522</v>
      </c>
      <c r="O158" s="6">
        <f>C145+C132+C119+C106+C94+C81+C68+C55</f>
        <v>734.47841072564142</v>
      </c>
      <c r="P158" s="6">
        <f>L158+N158</f>
        <v>687.67856315191261</v>
      </c>
      <c r="Q158" s="6">
        <f>M158+O158</f>
        <v>861.62441650443407</v>
      </c>
      <c r="R158" s="13"/>
      <c r="S158" s="13"/>
      <c r="T158" s="13"/>
      <c r="U158" s="13"/>
      <c r="V158" s="13"/>
      <c r="W158" s="13"/>
      <c r="X158" s="13"/>
    </row>
    <row r="159" spans="1:24" x14ac:dyDescent="0.25">
      <c r="A159" s="11" t="str">
        <f>$A$29</f>
        <v>Spring 2027</v>
      </c>
      <c r="B159" s="4">
        <f>IF(B158-D158+G158-(B158*($B$4+$H$4))+(C158*($C$4))&lt;0,0,B158-D158+G158-(B158*($B$4+$H$4))+(C158*($C$4)))</f>
        <v>219.6787015269</v>
      </c>
      <c r="C159" s="4">
        <f>IF(C158-E158+H158-(C158*($C$4+$I$4))+(B158*($B$4))&lt;0,0,C158-E158+H158-(C158*($C$4+$I$4))+(B158*($B$4)))</f>
        <v>110.79034081335</v>
      </c>
      <c r="D159" s="4">
        <f>$D$5*B159</f>
        <v>21.967870152690001</v>
      </c>
      <c r="E159" s="4">
        <f>$E$5*C159</f>
        <v>16.618551122002501</v>
      </c>
      <c r="F159" s="4">
        <f>F158+D159+E159</f>
        <v>79.003498395442492</v>
      </c>
      <c r="G159" s="4">
        <f>$F$5*F158</f>
        <v>0.40417077120749995</v>
      </c>
      <c r="H159" s="4">
        <f>$G$5*F158</f>
        <v>0.80834154241499989</v>
      </c>
      <c r="I159" s="4">
        <f>$H$5*B159+$I$5*C159</f>
        <v>0</v>
      </c>
      <c r="J159" s="4">
        <f>J158+I159</f>
        <v>0</v>
      </c>
      <c r="K159" s="32">
        <f t="shared" ref="K159:K169" si="47">J159/(B159+C159)</f>
        <v>0</v>
      </c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</row>
    <row r="160" spans="1:24" x14ac:dyDescent="0.25">
      <c r="A160" s="83"/>
      <c r="B160" s="4">
        <f>IF(B159-D159+G159-(B159*($B$5+$H$5))+(C159*($C$5))&lt;0,0,B159-D159+G159-(B159*($B$5+$H$5))+(C159*($C$5)))</f>
        <v>163.06150890610351</v>
      </c>
      <c r="C160" s="4">
        <f>IF(C159-E159+H159-(C159*($C$5+$I$5))+(B159*($B$5))&lt;0,0,C159-E159+H159-(C159*($C$5+$I$5))+(B159*($B$5)))</f>
        <v>130.03362447307649</v>
      </c>
      <c r="D160" s="4">
        <f>$D$6*B160</f>
        <v>16.306150890610351</v>
      </c>
      <c r="E160" s="4">
        <f>$E$6*C160</f>
        <v>19.505043670961474</v>
      </c>
      <c r="F160" s="4">
        <f t="shared" ref="F160:F169" si="48">F159+D160+E160</f>
        <v>114.81469295701432</v>
      </c>
      <c r="G160" s="4">
        <f>$F$6*F159</f>
        <v>1.5800699679088499</v>
      </c>
      <c r="H160" s="4">
        <f>$G$6*F159</f>
        <v>2.3701049518632749</v>
      </c>
      <c r="I160" s="4">
        <f>$H$6*B160+$I$6*C160</f>
        <v>0</v>
      </c>
      <c r="J160" s="4">
        <f t="shared" ref="J160:J169" si="49">J159+I160</f>
        <v>0</v>
      </c>
      <c r="K160" s="32">
        <f t="shared" si="47"/>
        <v>0</v>
      </c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</row>
    <row r="161" spans="1:24" x14ac:dyDescent="0.25">
      <c r="A161" s="105" t="s">
        <v>101</v>
      </c>
      <c r="B161" s="4">
        <f>IF(B160-D160+G160-(B160*($B$6+$H$6))+(C160*($C$6))&lt;0,0,B160-D160+G160-(B160*($B$6+$H$6))+(C160*($C$6)))</f>
        <v>125.46525847136689</v>
      </c>
      <c r="C161" s="4">
        <f>IF(C160-E160+H160-(C160*($C$6+$I$6))+(B160*($B$6))&lt;0,0,C160-E160+H160-(C160*($C$6+$I$6))+(B160*($B$6)))</f>
        <v>135.76885526601342</v>
      </c>
      <c r="D161" s="4">
        <f>$D$7*B161</f>
        <v>12.546525847136691</v>
      </c>
      <c r="E161" s="4">
        <f>$E$7*C161</f>
        <v>20.365328289902013</v>
      </c>
      <c r="F161" s="4">
        <f t="shared" si="48"/>
        <v>147.72654709405302</v>
      </c>
      <c r="G161" s="4">
        <f>$F$7*F160</f>
        <v>3.4444407887104291</v>
      </c>
      <c r="H161" s="4">
        <f>$G$7*F160</f>
        <v>4.5925877182805728</v>
      </c>
      <c r="I161" s="4">
        <f>$H$7*B161+$I$7*C161</f>
        <v>0</v>
      </c>
      <c r="J161" s="4">
        <f t="shared" si="49"/>
        <v>0</v>
      </c>
      <c r="K161" s="32">
        <f t="shared" si="47"/>
        <v>0</v>
      </c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</row>
    <row r="162" spans="1:24" x14ac:dyDescent="0.25">
      <c r="A162" s="105"/>
      <c r="B162" s="4">
        <f>IF(B161-D161+G161-(B161*($B$7+$H$7))+(C161*($C$7))&lt;0,0,B161-D161+G161-(B161*($B$7+$H$7))+(C161*($C$7)))</f>
        <v>101.08304949112758</v>
      </c>
      <c r="C162" s="4">
        <f>IF(C161-E161+H161-(C161*($C$7+$I$7))+(B161*($B$7))&lt;0,0,C161-E161+H161-(C161*($C$7+$I$7))+(B161*($B$7)))</f>
        <v>135.27623861620503</v>
      </c>
      <c r="D162" s="4">
        <f>$D$8*B162</f>
        <v>10.108304949112759</v>
      </c>
      <c r="E162" s="4">
        <f>$E$8*C162</f>
        <v>20.291435792430754</v>
      </c>
      <c r="F162" s="4">
        <f t="shared" si="48"/>
        <v>178.12628783559651</v>
      </c>
      <c r="G162" s="4">
        <f>$F$8*F161</f>
        <v>4.4317964128215905</v>
      </c>
      <c r="H162" s="4">
        <f>$G$8*F161</f>
        <v>7.3863273547026509</v>
      </c>
      <c r="I162" s="4">
        <f>$H$8*B162+$I$8*C162</f>
        <v>0</v>
      </c>
      <c r="J162" s="4">
        <f t="shared" si="49"/>
        <v>0</v>
      </c>
      <c r="K162" s="32">
        <f t="shared" si="47"/>
        <v>0</v>
      </c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</row>
    <row r="163" spans="1:24" x14ac:dyDescent="0.25">
      <c r="A163" s="105"/>
      <c r="B163" s="4">
        <f>IF(B162-D162+G162-(B162*($B$8+$H$8))+(C162*($C$8))&lt;0,0,B162-D162+G162-(B162*($B$8+$H$8))+(C162*($C$8)))</f>
        <v>84.674232938586272</v>
      </c>
      <c r="C163" s="4">
        <f>IF(C162-E162+H162-(C162*($C$8+$I$8))+(B162*($B$8))&lt;0,0,C162-E162+H162-(C162*($C$8+$I$8))+(B162*($B$8)))</f>
        <v>133.10343819472706</v>
      </c>
      <c r="D163" s="4">
        <f>$D$9*B163</f>
        <v>8.4674232938586282</v>
      </c>
      <c r="E163" s="4">
        <f>$E$9*C163</f>
        <v>19.965515729209059</v>
      </c>
      <c r="F163" s="4">
        <f t="shared" si="48"/>
        <v>206.5592268586642</v>
      </c>
      <c r="G163" s="4">
        <f>$F$9*F162</f>
        <v>5.3437886350678951</v>
      </c>
      <c r="H163" s="4">
        <f>$G$9*F162</f>
        <v>8.9063143917798264</v>
      </c>
      <c r="I163" s="4">
        <f>$H$9*B163+$I$9*C163</f>
        <v>0</v>
      </c>
      <c r="J163" s="4">
        <f t="shared" si="49"/>
        <v>0</v>
      </c>
      <c r="K163" s="32">
        <f t="shared" si="47"/>
        <v>0</v>
      </c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</row>
    <row r="164" spans="1:24" x14ac:dyDescent="0.25">
      <c r="A164" s="105"/>
      <c r="B164" s="4">
        <f>IF(B163-D163+G163-(B163*($B$9+$H$9))+(C163*($C$9))&lt;0,0,B163-D163+G163-(B163*($B$9+$H$9))+(C163*($C$9)))</f>
        <v>73.692383864621675</v>
      </c>
      <c r="C164" s="4">
        <f>IF(C163-E163+H163-(C163*($C$9+$I$9))+(B163*($B$9))&lt;0,0,C163-E163+H163-(C163*($C$9+$I$9))+(B163*($B$9)))</f>
        <v>129.90245127247169</v>
      </c>
      <c r="D164" s="4">
        <f>$D$10*B164</f>
        <v>7.3692383864621682</v>
      </c>
      <c r="E164" s="4">
        <f>$E$10*C164</f>
        <v>19.485367690870753</v>
      </c>
      <c r="F164" s="4">
        <f t="shared" si="48"/>
        <v>233.41383293599714</v>
      </c>
      <c r="G164" s="4">
        <f>$F$10*F163</f>
        <v>6.1967768057599262</v>
      </c>
      <c r="H164" s="4">
        <f>$G$10*F163</f>
        <v>10.327961342933211</v>
      </c>
      <c r="I164" s="4">
        <f>$H$10*B164+$I$10*C164</f>
        <v>0.7369238386462168</v>
      </c>
      <c r="J164" s="4">
        <f t="shared" si="49"/>
        <v>0.7369238386462168</v>
      </c>
      <c r="K164" s="32">
        <f t="shared" si="47"/>
        <v>3.6195605755421009E-3</v>
      </c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</row>
    <row r="165" spans="1:24" x14ac:dyDescent="0.25">
      <c r="A165" s="105"/>
      <c r="B165" s="4">
        <f>IF(B164-D164+G164-(B164*($B$10+$H$10))+(C164*($C$10))&lt;0,0,B164-D164+G164-(B164*($B$10+$H$10))+(C164*($C$10)))</f>
        <v>65.61322376771875</v>
      </c>
      <c r="C165" s="4">
        <f>IF(C164-E164+H164-(C164*($C$10+$I$10))+(B164*($B$10))&lt;0,0,C164-E164+H164-(C164*($C$10+$I$10))+(B164*($B$10)))</f>
        <v>126.91481960208861</v>
      </c>
      <c r="D165" s="4">
        <f>$D$11*B165</f>
        <v>6.5613223767718756</v>
      </c>
      <c r="E165" s="4">
        <f>$E$11*C165</f>
        <v>19.037222940313292</v>
      </c>
      <c r="F165" s="4">
        <f t="shared" si="48"/>
        <v>259.01237825308232</v>
      </c>
      <c r="G165" s="4">
        <f>$F$11*F164</f>
        <v>7.0024149880799138</v>
      </c>
      <c r="H165" s="4">
        <f>$G$11*F164</f>
        <v>11.670691646799858</v>
      </c>
      <c r="I165" s="4">
        <f>$H$11*B165+$I$11*C165</f>
        <v>1.3122644753543751</v>
      </c>
      <c r="J165" s="4">
        <f t="shared" si="49"/>
        <v>2.0491883140005918</v>
      </c>
      <c r="K165" s="32">
        <f t="shared" si="47"/>
        <v>1.0643583543123203E-2</v>
      </c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</row>
    <row r="166" spans="1:24" x14ac:dyDescent="0.25">
      <c r="A166" s="105"/>
      <c r="B166" s="4">
        <f>IF(B165-D165+G165-(B165*($B$11+$H$11))+(C165*($C$11))&lt;0,0,B165-D165+G165-(B165*($B$11+$H$11))+(C165*($C$11)))</f>
        <v>59.71796344659721</v>
      </c>
      <c r="C166" s="4">
        <f>IF(C165-E165+H165-(C165*($C$11+$I$11))+(B165*($B$11))&lt;0,0,C165-E165+H165-(C165*($C$11+$I$11))+(B165*($B$11)))</f>
        <v>124.57237676565038</v>
      </c>
      <c r="D166" s="4">
        <f>$D$12*B166</f>
        <v>5.9717963446597215</v>
      </c>
      <c r="E166" s="4">
        <f>$E$12*C166</f>
        <v>18.685856514847554</v>
      </c>
      <c r="F166" s="4">
        <f t="shared" si="48"/>
        <v>283.67003111258958</v>
      </c>
      <c r="G166" s="4">
        <f>$F$12*F165</f>
        <v>7.7703713475924694</v>
      </c>
      <c r="H166" s="4">
        <f>$G$12*F165</f>
        <v>12.950618912654116</v>
      </c>
      <c r="I166" s="4">
        <f>$H$12*B166+$I$12*C166</f>
        <v>8.9576945169895819</v>
      </c>
      <c r="J166" s="4">
        <f t="shared" si="49"/>
        <v>11.006882830990174</v>
      </c>
      <c r="K166" s="32">
        <f t="shared" si="47"/>
        <v>5.9725771943952795E-2</v>
      </c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</row>
    <row r="167" spans="1:24" x14ac:dyDescent="0.25">
      <c r="A167" s="105"/>
      <c r="B167" s="4">
        <f>IF(B166-D166+G166-(B166*($B$12+$H$12))+(C166*($C$12))&lt;0,0,B166-D166+G166-(B166*($B$12+$H$12))+(C166*($C$12)))</f>
        <v>48.295051844058193</v>
      </c>
      <c r="C167" s="4">
        <f>IF(C166-E166+H166-(C166*($C$12+$I$12))+(B166*($B$12))&lt;0,0,C166-E166+H166-(C166*($C$12+$I$12))+(B166*($B$12)))</f>
        <v>123.10093125193912</v>
      </c>
      <c r="D167" s="4">
        <f>$D$13*B167</f>
        <v>4.8295051844058197</v>
      </c>
      <c r="E167" s="4">
        <f>$E$13*C167</f>
        <v>18.465139687790867</v>
      </c>
      <c r="F167" s="4">
        <f t="shared" si="48"/>
        <v>306.96467598478625</v>
      </c>
      <c r="G167" s="4">
        <f>$F$13*F166</f>
        <v>8.5101009333776876</v>
      </c>
      <c r="H167" s="4">
        <f>$G$13*F166</f>
        <v>14.18350155562948</v>
      </c>
      <c r="I167" s="4">
        <f>$H$13*B167+$I$13*C167</f>
        <v>7.2442577766087286</v>
      </c>
      <c r="J167" s="4">
        <f t="shared" si="49"/>
        <v>18.251140607598902</v>
      </c>
      <c r="K167" s="32">
        <f t="shared" si="47"/>
        <v>0.10648522957143404</v>
      </c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</row>
    <row r="168" spans="1:24" x14ac:dyDescent="0.25">
      <c r="A168" s="105"/>
      <c r="B168" s="4">
        <f>IF(B167-D167+G167-(B167*($B$13+$H$13))+(C167*($C$13))&lt;0,0,B167-D167+G167-(B167*($B$13+$H$13))+(C167*($C$13)))</f>
        <v>43.035917906838371</v>
      </c>
      <c r="C168" s="4">
        <f>IF(C167-E167+H167-(C167*($C$13+$I$13))+(B167*($B$13))&lt;0,0,C167-E167+H167-(C167*($C$13+$I$13))+(B167*($B$13)))</f>
        <v>120.51476502936069</v>
      </c>
      <c r="D168" s="4">
        <f>$D$14*B168</f>
        <v>4.3035917906838375</v>
      </c>
      <c r="E168" s="4">
        <f>$E$14*C168</f>
        <v>18.077214754404103</v>
      </c>
      <c r="F168" s="4">
        <f t="shared" si="48"/>
        <v>329.34548252987418</v>
      </c>
      <c r="G168" s="4">
        <f>$F$14*F167</f>
        <v>9.2089402795435866</v>
      </c>
      <c r="H168" s="4">
        <f>$G$14*F167</f>
        <v>15.348233799239313</v>
      </c>
      <c r="I168" s="4">
        <f>$H$14*B168+$I$14*C168</f>
        <v>10.070830636906576</v>
      </c>
      <c r="J168" s="4">
        <f t="shared" si="49"/>
        <v>28.321971244505477</v>
      </c>
      <c r="K168" s="32">
        <f t="shared" si="47"/>
        <v>0.17316938539201238</v>
      </c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</row>
    <row r="169" spans="1:24" x14ac:dyDescent="0.25">
      <c r="A169" s="105"/>
      <c r="B169" s="4">
        <f>IF(B168-D168+G168-(B168*($B$13+$H$13))+(C168*($C$13))&lt;0,0,B168-D168+G168-(B168*($B$13+$H$13))+(C168*($C$13)))</f>
        <v>41.056939019625311</v>
      </c>
      <c r="C169" s="4">
        <f>IF(C168-E168+H168-(C168*($C$14+$I$14))+(B168*($B$14))&lt;0,0,C168-E168+H168-(C168*($C$14+$I$14))+(B168*($B$14)))</f>
        <v>115.0296399924305</v>
      </c>
      <c r="D169" s="4">
        <f>$D$15*B169</f>
        <v>4.1056939019625309</v>
      </c>
      <c r="E169" s="4">
        <f>$E$15*C169</f>
        <v>17.254445998864576</v>
      </c>
      <c r="F169" s="4">
        <f t="shared" si="48"/>
        <v>350.70562243070128</v>
      </c>
      <c r="G169" s="4">
        <f>$F$15*F168</f>
        <v>9.8803644758962257</v>
      </c>
      <c r="H169" s="4">
        <f>$G$15*F168</f>
        <v>16.467274126493709</v>
      </c>
      <c r="I169" s="4">
        <f>$H$15*B169+$I$15*C169</f>
        <v>10.759726452641017</v>
      </c>
      <c r="J169" s="4">
        <f t="shared" si="49"/>
        <v>39.081697697146495</v>
      </c>
      <c r="K169" s="32">
        <f t="shared" si="47"/>
        <v>0.25038474124112814</v>
      </c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</row>
    <row r="170" spans="1:24" x14ac:dyDescent="0.25">
      <c r="A170" s="105"/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" t="s">
        <v>129</v>
      </c>
      <c r="M170" s="8"/>
      <c r="N170" s="9" t="str">
        <f>"Coninuing Since  "&amp;$A$18</f>
        <v>Coninuing Since  New Fall 2022</v>
      </c>
      <c r="O170" s="8"/>
      <c r="P170" s="8"/>
      <c r="Q170" s="11" t="s">
        <v>130</v>
      </c>
      <c r="R170" s="13"/>
      <c r="S170" s="13"/>
      <c r="T170" s="13"/>
      <c r="U170" s="13"/>
      <c r="V170" s="13"/>
      <c r="W170" s="13"/>
      <c r="X170" s="13"/>
    </row>
    <row r="171" spans="1:24" x14ac:dyDescent="0.25">
      <c r="A171" s="11" t="str">
        <f>$A$17</f>
        <v>Semester</v>
      </c>
      <c r="B171" s="12" t="s">
        <v>85</v>
      </c>
      <c r="C171" s="12" t="s">
        <v>86</v>
      </c>
      <c r="D171" s="12" t="s">
        <v>96</v>
      </c>
      <c r="E171" s="12" t="s">
        <v>95</v>
      </c>
      <c r="F171" s="12" t="s">
        <v>87</v>
      </c>
      <c r="G171" s="12" t="s">
        <v>97</v>
      </c>
      <c r="H171" s="12" t="s">
        <v>98</v>
      </c>
      <c r="I171" s="12" t="s">
        <v>84</v>
      </c>
      <c r="J171" s="12" t="s">
        <v>88</v>
      </c>
      <c r="K171" s="12" t="s">
        <v>99</v>
      </c>
      <c r="L171" s="12" t="s">
        <v>103</v>
      </c>
      <c r="M171" s="12" t="s">
        <v>104</v>
      </c>
      <c r="N171" s="12" t="s">
        <v>103</v>
      </c>
      <c r="O171" s="12" t="s">
        <v>104</v>
      </c>
      <c r="P171" s="12" t="s">
        <v>103</v>
      </c>
      <c r="Q171" s="12" t="s">
        <v>104</v>
      </c>
      <c r="R171" s="13"/>
      <c r="S171" s="13"/>
      <c r="T171" s="13"/>
      <c r="U171" s="13"/>
      <c r="V171" s="13"/>
      <c r="W171" s="13"/>
      <c r="X171" s="13"/>
    </row>
    <row r="172" spans="1:24" x14ac:dyDescent="0.25">
      <c r="A172" s="11" t="str">
        <f>"New "&amp;$A$29</f>
        <v>New Spring 2027</v>
      </c>
      <c r="B172" s="97">
        <f>Enrollment!H4</f>
        <v>121.72672638719999</v>
      </c>
      <c r="C172" s="97">
        <f>Enrollment!H8</f>
        <v>26.627721397200006</v>
      </c>
      <c r="D172" s="4">
        <f>$D$4*B172</f>
        <v>12.17267263872</v>
      </c>
      <c r="E172" s="4">
        <f>$E$4*C172</f>
        <v>3.9941582095800006</v>
      </c>
      <c r="F172" s="4">
        <f>D172+E172</f>
        <v>16.166830848300002</v>
      </c>
      <c r="G172" s="4">
        <f>$F$4*F172</f>
        <v>0</v>
      </c>
      <c r="H172" s="4">
        <f>$G$4*F172</f>
        <v>0</v>
      </c>
      <c r="I172" s="4">
        <f>$H$4*B172+$I$4*C172</f>
        <v>0</v>
      </c>
      <c r="J172" s="4">
        <f>I172</f>
        <v>0</v>
      </c>
      <c r="K172" s="32">
        <f>J172/(B172+C172)</f>
        <v>0</v>
      </c>
      <c r="L172" s="4">
        <f>L331</f>
        <v>0</v>
      </c>
      <c r="M172" s="6">
        <f>M331</f>
        <v>0</v>
      </c>
      <c r="N172" s="6">
        <f>B159+B146+B133+B120+B107+B95+B82+B69+B56+B43</f>
        <v>711.1345290832711</v>
      </c>
      <c r="O172" s="6">
        <f>C159+C146+C133+C120+C107+C95+C82+C69</f>
        <v>724.0079067916472</v>
      </c>
      <c r="P172" s="6">
        <f>L172+N172</f>
        <v>711.1345290832711</v>
      </c>
      <c r="Q172" s="6">
        <f>M172+O172</f>
        <v>724.0079067916472</v>
      </c>
      <c r="R172" s="13"/>
      <c r="S172" s="13"/>
      <c r="T172" s="13"/>
      <c r="U172" s="13"/>
      <c r="V172" s="13"/>
      <c r="W172" s="13"/>
      <c r="X172" s="13"/>
    </row>
    <row r="173" spans="1:24" x14ac:dyDescent="0.25">
      <c r="A173" s="83"/>
      <c r="B173" s="62"/>
      <c r="C173" s="62"/>
      <c r="D173" s="62"/>
      <c r="E173" s="62"/>
      <c r="F173" s="62"/>
      <c r="G173" s="62"/>
      <c r="H173" s="62"/>
      <c r="I173" s="62"/>
      <c r="J173" s="62"/>
      <c r="K173" s="96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</row>
    <row r="174" spans="1:24" x14ac:dyDescent="0.25">
      <c r="A174" s="20" t="s">
        <v>109</v>
      </c>
      <c r="B174" s="13"/>
      <c r="C174" s="13"/>
      <c r="D174" s="13"/>
      <c r="E174" s="13"/>
      <c r="F174" s="13"/>
      <c r="G174" s="13"/>
      <c r="H174" s="13"/>
      <c r="I174" s="13"/>
      <c r="J174" s="13"/>
      <c r="K174" s="9" t="s">
        <v>116</v>
      </c>
      <c r="L174" s="9"/>
      <c r="M174" s="9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</row>
    <row r="175" spans="1:24" x14ac:dyDescent="0.25">
      <c r="A175" s="11" t="str">
        <f>$A$17</f>
        <v>Semester</v>
      </c>
      <c r="B175" s="12" t="s">
        <v>85</v>
      </c>
      <c r="C175" s="12" t="s">
        <v>86</v>
      </c>
      <c r="D175" s="12" t="s">
        <v>96</v>
      </c>
      <c r="E175" s="12" t="s">
        <v>95</v>
      </c>
      <c r="F175" s="12" t="s">
        <v>87</v>
      </c>
      <c r="G175" s="12" t="s">
        <v>97</v>
      </c>
      <c r="H175" s="12" t="s">
        <v>98</v>
      </c>
      <c r="I175" s="12" t="s">
        <v>84</v>
      </c>
      <c r="J175" s="12" t="s">
        <v>88</v>
      </c>
      <c r="K175" s="35"/>
      <c r="L175" s="12" t="s">
        <v>103</v>
      </c>
      <c r="M175" s="12" t="s">
        <v>104</v>
      </c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</row>
    <row r="176" spans="1:24" x14ac:dyDescent="0.25">
      <c r="A176" s="11" t="s">
        <v>131</v>
      </c>
      <c r="B176" s="97">
        <f>Enrollment!A13</f>
        <v>330</v>
      </c>
      <c r="C176" s="97">
        <f>Enrollment!A14</f>
        <v>80</v>
      </c>
      <c r="D176" s="4">
        <f>$D$4*B176</f>
        <v>33</v>
      </c>
      <c r="E176" s="4">
        <f>$E$4*C176</f>
        <v>12</v>
      </c>
      <c r="F176" s="4">
        <f>D176+E176</f>
        <v>45</v>
      </c>
      <c r="G176" s="4">
        <v>0</v>
      </c>
      <c r="H176" s="4">
        <v>0</v>
      </c>
      <c r="I176" s="4">
        <f>$H$4*B176+$I$4*C176</f>
        <v>0</v>
      </c>
      <c r="J176" s="4">
        <f>I176</f>
        <v>0</v>
      </c>
      <c r="K176" s="32" t="s">
        <v>117</v>
      </c>
      <c r="L176" s="6">
        <f>SUM(B177:$B$187)</f>
        <v>1124.0895979528175</v>
      </c>
      <c r="M176" s="6">
        <f>SUM(C177:$C$187)</f>
        <v>1537.5488423853401</v>
      </c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</row>
    <row r="177" spans="1:24" x14ac:dyDescent="0.25">
      <c r="A177" s="11" t="s">
        <v>105</v>
      </c>
      <c r="B177" s="4">
        <f>IF(B176-D176+G176-(B176*($B$4+$H$4))+(C176*($C$4))&lt;0,0,B176-D176+G176-(B176*($B$4+$H$4))+(C176*($C$4)))</f>
        <v>239</v>
      </c>
      <c r="C177" s="4">
        <f>IF(C176-E176+H176-(C176*($C$4+$I$4))+(B176*($B$4))&lt;0,0,C176-E176+H176-(C176*($C$4+$I$4))+(B176*($B$4)))</f>
        <v>126</v>
      </c>
      <c r="D177" s="4">
        <f>$D$5*B177</f>
        <v>23.900000000000002</v>
      </c>
      <c r="E177" s="4">
        <f>$E$5*C177</f>
        <v>18.899999999999999</v>
      </c>
      <c r="F177" s="4">
        <f>F176+D177+E177</f>
        <v>87.800000000000011</v>
      </c>
      <c r="G177" s="4">
        <f>$F$5*F176</f>
        <v>0.45</v>
      </c>
      <c r="H177" s="4">
        <f>$G$5*F176</f>
        <v>0.9</v>
      </c>
      <c r="I177" s="4">
        <f>$H$5*B177+$I$5*C177</f>
        <v>0</v>
      </c>
      <c r="J177" s="4">
        <f>J176+I177</f>
        <v>0</v>
      </c>
      <c r="K177" s="32" t="s">
        <v>118</v>
      </c>
      <c r="L177" s="6">
        <f>SUM(B178:$B$187)</f>
        <v>885.0895979528176</v>
      </c>
      <c r="M177" s="6">
        <f>SUM(C178:$C$187)</f>
        <v>1411.5488423853401</v>
      </c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</row>
    <row r="178" spans="1:24" x14ac:dyDescent="0.25">
      <c r="A178" s="11" t="s">
        <v>106</v>
      </c>
      <c r="B178" s="4">
        <f>IF(B177-D177+G177-(B177*($B$5+$H$5))+(C177*($C$5))&lt;0,0,B177-D177+G177-(B177*($B$5+$H$5))+(C177*($C$5)))</f>
        <v>177.95999999999998</v>
      </c>
      <c r="C178" s="4">
        <f>IF(C177-E177+H177-(C177*($C$5+$I$5))+(B177*($B$5))&lt;0,0,C177-E177+H177-(C177*($C$5+$I$5))+(B177*($B$5)))</f>
        <v>145.59</v>
      </c>
      <c r="D178" s="4">
        <f>$D$6*B178</f>
        <v>17.795999999999999</v>
      </c>
      <c r="E178" s="4">
        <f>$E$6*C178</f>
        <v>21.8385</v>
      </c>
      <c r="F178" s="4">
        <f t="shared" ref="F178:F186" si="50">F177+D178+E178</f>
        <v>127.4345</v>
      </c>
      <c r="G178" s="4">
        <f>$F$6*F177</f>
        <v>1.7560000000000002</v>
      </c>
      <c r="H178" s="4">
        <f>$G$6*F177</f>
        <v>2.6340000000000003</v>
      </c>
      <c r="I178" s="4">
        <f>$H$6*B178+$I$6*C178</f>
        <v>0</v>
      </c>
      <c r="J178" s="4">
        <f t="shared" ref="J178:J186" si="51">J177+I178</f>
        <v>0</v>
      </c>
      <c r="K178" s="32" t="s">
        <v>119</v>
      </c>
      <c r="L178" s="6">
        <f>SUM(B179:$B$187)</f>
        <v>707.12959795281756</v>
      </c>
      <c r="M178" s="6">
        <f>SUM(C179:$C$187)</f>
        <v>1265.9588423853399</v>
      </c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</row>
    <row r="179" spans="1:24" x14ac:dyDescent="0.25">
      <c r="A179" s="11" t="s">
        <v>107</v>
      </c>
      <c r="B179" s="4">
        <f>IF(B178-D178+G178-(B178*($B$6+$H$6))+(C178*($C$6))&lt;0,0,B178-D178+G178-(B178*($B$6+$H$6))+(C178*($C$6)))</f>
        <v>137.3278</v>
      </c>
      <c r="C179" s="4">
        <f>IF(C178-E178+H178-(C178*($C$6+$I$6))+(B178*($B$6))&lt;0,0,C178-E178+H178-(C178*($C$6+$I$6))+(B178*($B$6)))</f>
        <v>150.9777</v>
      </c>
      <c r="D179" s="4">
        <f>$D$7*B179</f>
        <v>13.73278</v>
      </c>
      <c r="E179" s="4">
        <f>$E$7*C179</f>
        <v>22.646654999999999</v>
      </c>
      <c r="F179" s="4">
        <f t="shared" si="50"/>
        <v>163.81393500000001</v>
      </c>
      <c r="G179" s="4">
        <f>$F$7*F178</f>
        <v>3.823035</v>
      </c>
      <c r="H179" s="4">
        <f>$G$7*F178</f>
        <v>5.0973800000000002</v>
      </c>
      <c r="I179" s="4">
        <f>$H$7*B179+$I$7*C179</f>
        <v>0</v>
      </c>
      <c r="J179" s="4">
        <f t="shared" si="51"/>
        <v>0</v>
      </c>
      <c r="K179" s="32" t="s">
        <v>120</v>
      </c>
      <c r="L179" s="6">
        <f>SUM(B180:$B$187)</f>
        <v>569.80179795281776</v>
      </c>
      <c r="M179" s="6">
        <f>SUM(C180:$C$187)</f>
        <v>1114.9811423853403</v>
      </c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</row>
    <row r="180" spans="1:24" x14ac:dyDescent="0.25">
      <c r="A180" s="11" t="s">
        <v>108</v>
      </c>
      <c r="B180" s="4">
        <f>IF(B179-D179+G179-(B179*($B$7+$H$7))+(C179*($C$7))&lt;0,0,B179-D179+G179-(B179*($B$7+$H$7))+(C179*($C$7)))</f>
        <v>110.930431</v>
      </c>
      <c r="C180" s="4">
        <f>IF(C179-E179+H179-(C179*($C$7+$I$7))+(B179*($B$7))&lt;0,0,C179-E179+H179-(C179*($C$7+$I$7))+(B179*($B$7)))</f>
        <v>149.91604899999999</v>
      </c>
      <c r="D180" s="4">
        <f>$D$8*B180</f>
        <v>11.093043100000001</v>
      </c>
      <c r="E180" s="4">
        <f>$E$8*C180</f>
        <v>22.487407349999998</v>
      </c>
      <c r="F180" s="4">
        <f t="shared" si="50"/>
        <v>197.39438545000002</v>
      </c>
      <c r="G180" s="4">
        <f>$F$8*F179</f>
        <v>4.9144180500000001</v>
      </c>
      <c r="H180" s="4">
        <f>$G$8*F179</f>
        <v>8.1906967500000007</v>
      </c>
      <c r="I180" s="4">
        <f>$H$8*B180+$I$8*C180</f>
        <v>0</v>
      </c>
      <c r="J180" s="4">
        <f t="shared" si="51"/>
        <v>0</v>
      </c>
      <c r="K180" s="32" t="s">
        <v>121</v>
      </c>
      <c r="L180" s="6">
        <f>SUM(B181:$B$187)</f>
        <v>458.87136695281771</v>
      </c>
      <c r="M180" s="6">
        <f>SUM(C181:$C$187)</f>
        <v>965.06509338534033</v>
      </c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</row>
    <row r="181" spans="1:24" x14ac:dyDescent="0.25">
      <c r="A181" s="11" t="s">
        <v>110</v>
      </c>
      <c r="B181" s="4">
        <f>IF(B180-D180+G180-(B180*($B$8+$H$8))+(C180*($C$8))&lt;0,0,B180-D180+G180-(B180*($B$8+$H$8))+(C180*($C$8)))</f>
        <v>93.120107409999989</v>
      </c>
      <c r="C181" s="4">
        <f>IF(C180-E180+H180-(C180*($C$8+$I$8))+(B180*($B$8))&lt;0,0,C180-E180+H180-(C180*($C$8+$I$8))+(B180*($B$8)))</f>
        <v>147.25103694000001</v>
      </c>
      <c r="D181" s="4">
        <f>$D$9*B181</f>
        <v>9.3120107409999999</v>
      </c>
      <c r="E181" s="4">
        <f>$E$9*C181</f>
        <v>22.087655541</v>
      </c>
      <c r="F181" s="4">
        <f t="shared" si="50"/>
        <v>228.79405173200001</v>
      </c>
      <c r="G181" s="4">
        <f>$F$9*F180</f>
        <v>5.9218315635000005</v>
      </c>
      <c r="H181" s="4">
        <f>$G$9*F180</f>
        <v>9.8697192725000011</v>
      </c>
      <c r="I181" s="4">
        <f>$H$9*B181+$I$9*C181</f>
        <v>0</v>
      </c>
      <c r="J181" s="4">
        <f t="shared" si="51"/>
        <v>0</v>
      </c>
      <c r="K181" s="32" t="s">
        <v>122</v>
      </c>
      <c r="L181" s="6">
        <f>SUM(B182:$B$187)</f>
        <v>365.75125954281771</v>
      </c>
      <c r="M181" s="6">
        <f>SUM(C182:$C$187)</f>
        <v>817.81405644534038</v>
      </c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</row>
    <row r="182" spans="1:24" x14ac:dyDescent="0.25">
      <c r="A182" s="11" t="s">
        <v>111</v>
      </c>
      <c r="B182" s="4">
        <f>IF(B181-D181+G181-(B181*($B$9+$H$9))+(C181*($C$9))&lt;0,0,B181-D181+G181-(B181*($B$9+$H$9))+(C181*($C$9)))</f>
        <v>81.175005073999998</v>
      </c>
      <c r="C182" s="4">
        <f>IF(C181-E181+H181-(C181*($C$9+$I$9))+(B181*($B$9))&lt;0,0,C181-E181+H181-(C181*($C$9+$I$9))+(B181*($B$9)))</f>
        <v>143.58802383</v>
      </c>
      <c r="D182" s="4">
        <f>$D$10*B182</f>
        <v>8.1175005074000008</v>
      </c>
      <c r="E182" s="4">
        <f>$E$10*C182</f>
        <v>21.538203574499999</v>
      </c>
      <c r="F182" s="4">
        <f t="shared" si="50"/>
        <v>258.44975581390003</v>
      </c>
      <c r="G182" s="4">
        <f>$F$10*F181</f>
        <v>6.8638215519600001</v>
      </c>
      <c r="H182" s="4">
        <f>$G$10*F181</f>
        <v>11.439702586600001</v>
      </c>
      <c r="I182" s="4">
        <f>$H$10*B182+$I$10*C182</f>
        <v>0.81175005073999995</v>
      </c>
      <c r="J182" s="4">
        <f t="shared" si="51"/>
        <v>0.81175005073999995</v>
      </c>
      <c r="K182" s="32" t="s">
        <v>123</v>
      </c>
      <c r="L182" s="6">
        <f>SUM(B183:$B$187)</f>
        <v>284.57625446881769</v>
      </c>
      <c r="M182" s="6">
        <f>SUM(C183:$C$187)</f>
        <v>674.22603261534027</v>
      </c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</row>
    <row r="183" spans="1:24" x14ac:dyDescent="0.25">
      <c r="A183" s="11" t="s">
        <v>112</v>
      </c>
      <c r="B183" s="4">
        <f>IF(B182-D182+G182-(B182*($B$10+$H$10))+(C182*($C$10))&lt;0,0,B182-D182+G182-(B182*($B$10+$H$10))+(C182*($C$10)))</f>
        <v>72.362877131580007</v>
      </c>
      <c r="C183" s="4">
        <f>IF(C182-E182+H182-(C182*($C$10+$I$10))+(B182*($B$10))&lt;0,0,C182-E182+H182-(C182*($C$10+$I$10))+(B182*($B$10)))</f>
        <v>140.23622177834</v>
      </c>
      <c r="D183" s="4">
        <f>$D$11*B183</f>
        <v>7.236287713158001</v>
      </c>
      <c r="E183" s="4">
        <f>$E$11*C183</f>
        <v>21.035433266750999</v>
      </c>
      <c r="F183" s="4">
        <f t="shared" si="50"/>
        <v>286.72147679380902</v>
      </c>
      <c r="G183" s="4">
        <f>$F$11*F182</f>
        <v>7.7534926744170001</v>
      </c>
      <c r="H183" s="4">
        <f>$G$11*F182</f>
        <v>12.922487790695001</v>
      </c>
      <c r="I183" s="4">
        <f>$H$11*B183+$I$11*C183</f>
        <v>1.4472575426316001</v>
      </c>
      <c r="J183" s="4">
        <f t="shared" si="51"/>
        <v>2.2590075933716003</v>
      </c>
      <c r="K183" s="32" t="s">
        <v>124</v>
      </c>
      <c r="L183" s="6">
        <f>SUM(B184:$B$187)</f>
        <v>212.21337733723763</v>
      </c>
      <c r="M183" s="6">
        <f>SUM(C184:$C$187)</f>
        <v>533.98981083700028</v>
      </c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</row>
    <row r="184" spans="1:24" x14ac:dyDescent="0.25">
      <c r="A184" s="11" t="s">
        <v>113</v>
      </c>
      <c r="B184" s="4">
        <f>IF(B183-D183+G183-(B183*($B$11+$H$11))+(C183*($C$11))&lt;0,0,B183-D183+G183-(B183*($B$11+$H$11))+(C183*($C$11)))</f>
        <v>65.918469902514801</v>
      </c>
      <c r="C184" s="4">
        <f>IF(C183-E183+H183-(C183*($C$11+$I$11))+(B183*($B$11))&lt;0,0,C183-E183+H183-(C183*($C$11+$I$11))+(B183*($B$11)))</f>
        <v>137.63763094997663</v>
      </c>
      <c r="D184" s="4">
        <f>$D$12*B184</f>
        <v>6.5918469902514802</v>
      </c>
      <c r="E184" s="4">
        <f>$E$12*C184</f>
        <v>20.645644642496492</v>
      </c>
      <c r="F184" s="4">
        <f t="shared" si="50"/>
        <v>313.95896842655702</v>
      </c>
      <c r="G184" s="4">
        <f>$F$12*F183</f>
        <v>8.60164430381427</v>
      </c>
      <c r="H184" s="4">
        <f>$G$12*F183</f>
        <v>14.336073839690451</v>
      </c>
      <c r="I184" s="4">
        <f>$H$12*B184+$I$12*C184</f>
        <v>9.887770485377219</v>
      </c>
      <c r="J184" s="4">
        <f t="shared" si="51"/>
        <v>12.14677807874882</v>
      </c>
      <c r="K184" s="32" t="s">
        <v>125</v>
      </c>
      <c r="L184" s="6">
        <f>SUM(B185:$B$187)</f>
        <v>146.29490743472286</v>
      </c>
      <c r="M184" s="6">
        <f>SUM(C185:$C$187)</f>
        <v>396.35217988702362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</row>
    <row r="185" spans="1:24" x14ac:dyDescent="0.25">
      <c r="A185" s="11" t="s">
        <v>114</v>
      </c>
      <c r="B185" s="4">
        <f>IF(B184-D184+G184-(B184*($B$12+$H$12))+(C184*($C$12))&lt;0,0,B184-D184+G184-(B184*($B$12+$H$12))+(C184*($C$12)))</f>
        <v>53.347088252993878</v>
      </c>
      <c r="C185" s="4">
        <f>IF(C184-E184+H184-(C184*($C$12+$I$12))+(B184*($B$12))&lt;0,0,C184-E184+H184-(C184*($C$12+$I$12))+(B184*($B$12)))</f>
        <v>136.02146862487706</v>
      </c>
      <c r="D185" s="4">
        <f>$D$13*B185</f>
        <v>5.3347088252993879</v>
      </c>
      <c r="E185" s="4">
        <f>$E$13*C185</f>
        <v>20.403220293731557</v>
      </c>
      <c r="F185" s="4">
        <f t="shared" si="50"/>
        <v>339.696897545588</v>
      </c>
      <c r="G185" s="4">
        <f>$F$13*F184</f>
        <v>9.4187690527967103</v>
      </c>
      <c r="H185" s="4">
        <f>$G$13*F184</f>
        <v>15.697948421327851</v>
      </c>
      <c r="I185" s="4">
        <f>$H$13*B185+$I$13*C185</f>
        <v>8.0020632379490806</v>
      </c>
      <c r="J185" s="4">
        <f t="shared" si="51"/>
        <v>20.148841316697901</v>
      </c>
      <c r="K185" s="32" t="s">
        <v>127</v>
      </c>
      <c r="L185" s="6">
        <f>SUM(B186:$B$187)</f>
        <v>92.947819181728988</v>
      </c>
      <c r="M185" s="6">
        <f>SUM(C186:$C$187)</f>
        <v>260.33071126214656</v>
      </c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</row>
    <row r="186" spans="1:24" x14ac:dyDescent="0.25">
      <c r="A186" s="11" t="s">
        <v>115</v>
      </c>
      <c r="B186" s="4">
        <f>IF(B185-D185+G185-(B185*($B$13+$H$13))+(C185*($C$13))&lt;0,0,B185-D185+G185-(B185*($B$13+$H$13))+(C185*($C$13)))</f>
        <v>47.560576511661608</v>
      </c>
      <c r="C186" s="4">
        <f>IF(C185-E185+H185-(C185*($C$13+$I$13))+(B185*($B$13))&lt;0,0,C185-E185+H185-(C185*($C$13+$I$13))+(B185*($B$13)))</f>
        <v>133.18470548335389</v>
      </c>
      <c r="D186" s="4">
        <f>$D$14*B186</f>
        <v>4.7560576511661612</v>
      </c>
      <c r="E186" s="4">
        <f>$E$14*C186</f>
        <v>19.977705822503083</v>
      </c>
      <c r="F186" s="4">
        <f t="shared" si="50"/>
        <v>364.43066101925723</v>
      </c>
      <c r="G186" s="4">
        <f>$F$14*F185</f>
        <v>10.19090692636764</v>
      </c>
      <c r="H186" s="4">
        <f>$G$14*F185</f>
        <v>16.9848448772794</v>
      </c>
      <c r="I186" s="4">
        <f>$H$14*B186+$I$14*C186</f>
        <v>11.129627641249858</v>
      </c>
      <c r="J186" s="4">
        <f t="shared" si="51"/>
        <v>31.278468957947759</v>
      </c>
      <c r="K186" s="32" t="s">
        <v>128</v>
      </c>
      <c r="L186" s="6">
        <f>SUM(B187:$B$187)</f>
        <v>45.387242670067373</v>
      </c>
      <c r="M186" s="6">
        <f>SUM(C187:$C$187)</f>
        <v>127.1460057787927</v>
      </c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</row>
    <row r="187" spans="1:24" x14ac:dyDescent="0.25">
      <c r="A187" s="11" t="s">
        <v>126</v>
      </c>
      <c r="B187" s="4">
        <f>IF(B186-D186+G186-(B186*($B$13+$H$13))+(C186*($C$13))&lt;0,0,B186-D186+G186-(B186*($B$13+$H$13))+(C186*($C$13)))</f>
        <v>45.387242670067373</v>
      </c>
      <c r="C187" s="4">
        <f>IF(C186-E186+H186-(C186*($C$14+$I$14))+(B186*($B$14))&lt;0,0,C186-E186+H186-(C186*($C$14+$I$14))+(B186*($B$14)))</f>
        <v>127.1460057787927</v>
      </c>
      <c r="D187" s="4">
        <f>$D$14*B187</f>
        <v>4.5387242670067378</v>
      </c>
      <c r="E187" s="4">
        <f>$E$14*C187</f>
        <v>19.071900866818904</v>
      </c>
      <c r="F187" s="4">
        <f t="shared" ref="F187" si="52">F186+D187+E187</f>
        <v>388.04128615308286</v>
      </c>
      <c r="G187" s="4">
        <f>$F$15*F186</f>
        <v>10.932919830577717</v>
      </c>
      <c r="H187" s="4">
        <f>$G$15*F186</f>
        <v>18.221533050962861</v>
      </c>
      <c r="I187" s="4">
        <f>$H$14*B187+$I$14*C187</f>
        <v>10.622466573873886</v>
      </c>
      <c r="J187" s="4">
        <f t="shared" ref="J187" si="53">J186+I187</f>
        <v>41.900935531821645</v>
      </c>
      <c r="K187" s="96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</row>
    <row r="188" spans="1:24" x14ac:dyDescent="0.25">
      <c r="A188" s="83"/>
      <c r="B188" s="16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</row>
    <row r="189" spans="1:24" x14ac:dyDescent="0.25">
      <c r="A189" s="8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</row>
    <row r="190" spans="1:24" x14ac:dyDescent="0.25">
      <c r="A190" s="8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</row>
    <row r="191" spans="1:24" x14ac:dyDescent="0.25">
      <c r="A191" s="8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</row>
    <row r="192" spans="1:24" x14ac:dyDescent="0.25">
      <c r="A192" s="8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</row>
    <row r="193" spans="1:24" x14ac:dyDescent="0.25">
      <c r="A193" s="8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</row>
    <row r="194" spans="1:24" x14ac:dyDescent="0.25">
      <c r="A194" s="8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</row>
    <row r="195" spans="1:24" x14ac:dyDescent="0.25">
      <c r="A195" s="8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</row>
    <row r="196" spans="1:24" x14ac:dyDescent="0.25">
      <c r="A196" s="8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79827-F79B-4A0F-B59E-71A5D2918E4A}">
  <dimension ref="A1:P54"/>
  <sheetViews>
    <sheetView zoomScale="90" zoomScaleNormal="90" workbookViewId="0"/>
  </sheetViews>
  <sheetFormatPr defaultRowHeight="15" x14ac:dyDescent="0.25"/>
  <cols>
    <col min="1" max="1" width="38.42578125" customWidth="1"/>
    <col min="2" max="8" width="12.7109375" customWidth="1"/>
  </cols>
  <sheetData>
    <row r="1" spans="1:16" ht="15.75" x14ac:dyDescent="0.25">
      <c r="A1" s="163" t="str">
        <f>Summary!A1</f>
        <v>Big Desert College</v>
      </c>
      <c r="B1" s="118"/>
      <c r="C1" s="118"/>
      <c r="D1" s="141" t="s">
        <v>182</v>
      </c>
      <c r="E1" s="118"/>
      <c r="F1" s="118"/>
      <c r="G1" s="118"/>
      <c r="H1" s="64"/>
      <c r="I1" s="13"/>
      <c r="J1" s="13"/>
      <c r="K1" s="13"/>
      <c r="L1" s="13"/>
      <c r="M1" s="13"/>
      <c r="N1" s="13"/>
      <c r="O1" s="13"/>
      <c r="P1" s="13"/>
    </row>
    <row r="2" spans="1:16" x14ac:dyDescent="0.25">
      <c r="A2" s="65" t="s">
        <v>189</v>
      </c>
      <c r="B2" s="132">
        <f>C2-1</f>
        <v>2021</v>
      </c>
      <c r="C2" s="132">
        <f>Summary!F3</f>
        <v>2022</v>
      </c>
      <c r="D2" s="132">
        <f>C2+1</f>
        <v>2023</v>
      </c>
      <c r="E2" s="132">
        <f>D2+1</f>
        <v>2024</v>
      </c>
      <c r="F2" s="132">
        <f>E2+1</f>
        <v>2025</v>
      </c>
      <c r="G2" s="132">
        <f>F2+1</f>
        <v>2026</v>
      </c>
      <c r="H2" s="133">
        <f>G2+1</f>
        <v>2027</v>
      </c>
      <c r="I2" s="29"/>
      <c r="J2" s="13"/>
      <c r="K2" s="13"/>
      <c r="L2" s="13"/>
      <c r="M2" s="13"/>
      <c r="N2" s="13"/>
      <c r="O2" s="13"/>
      <c r="P2" s="13"/>
    </row>
    <row r="3" spans="1:16" x14ac:dyDescent="0.25">
      <c r="A3" s="65" t="s">
        <v>152</v>
      </c>
      <c r="B3" s="140">
        <v>500000</v>
      </c>
      <c r="C3" s="22">
        <f>Cash!B13</f>
        <v>4483926.2582771601</v>
      </c>
      <c r="D3" s="22">
        <f>Cash!C13</f>
        <v>6773673.1635436425</v>
      </c>
      <c r="E3" s="22">
        <f>Cash!D13</f>
        <v>6168348.2955852076</v>
      </c>
      <c r="F3" s="22">
        <f>Cash!E13</f>
        <v>2148543.2128012916</v>
      </c>
      <c r="G3" s="22">
        <f>Cash!F13</f>
        <v>-4512515.4761375189</v>
      </c>
      <c r="H3" s="66">
        <f>Cash!G13</f>
        <v>-15109511.794917252</v>
      </c>
      <c r="I3" s="13"/>
      <c r="J3" s="13"/>
      <c r="K3" s="13"/>
      <c r="L3" s="13"/>
      <c r="M3" s="13"/>
      <c r="N3" s="13"/>
      <c r="O3" s="13"/>
      <c r="P3" s="13"/>
    </row>
    <row r="4" spans="1:16" x14ac:dyDescent="0.25">
      <c r="A4" s="65" t="s">
        <v>153</v>
      </c>
      <c r="B4" s="112">
        <v>1300000</v>
      </c>
      <c r="C4" s="22">
        <f>$B$24*Summary!F10</f>
        <v>1516762.9609619558</v>
      </c>
      <c r="D4" s="22">
        <f>$B$24*Summary!G10</f>
        <v>1427591.0099107644</v>
      </c>
      <c r="E4" s="22">
        <f>$B$24*Summary!H10</f>
        <v>1305211.4137406948</v>
      </c>
      <c r="F4" s="22">
        <f>$B$24*Summary!I10</f>
        <v>1161391.1806922299</v>
      </c>
      <c r="G4" s="22">
        <f>$B$24*Summary!J10</f>
        <v>1086575.4438380902</v>
      </c>
      <c r="H4" s="66">
        <f>$B$24*Summary!K10</f>
        <v>923033.36171093851</v>
      </c>
      <c r="I4" s="13"/>
      <c r="J4" s="13"/>
      <c r="K4" s="13"/>
      <c r="L4" s="13"/>
      <c r="M4" s="13"/>
      <c r="N4" s="13"/>
      <c r="O4" s="13"/>
      <c r="P4" s="13"/>
    </row>
    <row r="5" spans="1:16" x14ac:dyDescent="0.25">
      <c r="A5" s="65" t="s">
        <v>155</v>
      </c>
      <c r="B5" s="112">
        <v>700000</v>
      </c>
      <c r="C5" s="5">
        <f>B5*(1+$B$25+Summary!$B$23)</f>
        <v>728000</v>
      </c>
      <c r="D5" s="5">
        <f>C5*(1+$B$25+Summary!$B$23)</f>
        <v>757120</v>
      </c>
      <c r="E5" s="5">
        <f>D5*(1+$B$25+Summary!$B$23)</f>
        <v>787404.80000000005</v>
      </c>
      <c r="F5" s="5">
        <f>E5*(1+$B$25+Summary!$B$23)</f>
        <v>818900.99200000009</v>
      </c>
      <c r="G5" s="5">
        <f>F5*(1+$B$25+Summary!$B$23)</f>
        <v>851657.03168000013</v>
      </c>
      <c r="H5" s="67">
        <f>G5*(1+$B$25+Summary!$B$23)</f>
        <v>885723.31294720015</v>
      </c>
      <c r="I5" s="13"/>
      <c r="J5" s="13"/>
      <c r="K5" s="13"/>
      <c r="L5" s="13"/>
      <c r="M5" s="13"/>
      <c r="N5" s="13"/>
      <c r="O5" s="13"/>
      <c r="P5" s="13"/>
    </row>
    <row r="6" spans="1:16" x14ac:dyDescent="0.25">
      <c r="A6" s="69" t="s">
        <v>156</v>
      </c>
      <c r="B6" s="119">
        <f>SUM(B3:B5)</f>
        <v>2500000</v>
      </c>
      <c r="C6" s="119">
        <f t="shared" ref="C6:H6" si="0">SUM(C3:C5)</f>
        <v>6728689.2192391157</v>
      </c>
      <c r="D6" s="119">
        <f t="shared" si="0"/>
        <v>8958384.1734544076</v>
      </c>
      <c r="E6" s="119">
        <f t="shared" si="0"/>
        <v>8260964.509325902</v>
      </c>
      <c r="F6" s="119">
        <f t="shared" si="0"/>
        <v>4128835.3854935216</v>
      </c>
      <c r="G6" s="119">
        <f t="shared" si="0"/>
        <v>-2574283.0006194287</v>
      </c>
      <c r="H6" s="120">
        <f t="shared" si="0"/>
        <v>-13300755.120259114</v>
      </c>
      <c r="I6" s="13"/>
      <c r="J6" s="13"/>
      <c r="K6" s="13"/>
      <c r="L6" s="13"/>
      <c r="M6" s="13"/>
      <c r="N6" s="13"/>
      <c r="O6" s="13"/>
      <c r="P6" s="13"/>
    </row>
    <row r="7" spans="1:16" ht="8.25" customHeight="1" x14ac:dyDescent="0.25">
      <c r="A7" s="139"/>
      <c r="B7" s="121"/>
      <c r="C7" s="23"/>
      <c r="D7" s="23"/>
      <c r="E7" s="23"/>
      <c r="F7" s="23"/>
      <c r="G7" s="23"/>
      <c r="H7" s="122"/>
      <c r="I7" s="13"/>
      <c r="J7" s="13"/>
      <c r="K7" s="13"/>
      <c r="L7" s="13"/>
      <c r="M7" s="13"/>
      <c r="N7" s="13"/>
      <c r="O7" s="13"/>
      <c r="P7" s="13"/>
    </row>
    <row r="8" spans="1:16" x14ac:dyDescent="0.25">
      <c r="A8" s="65" t="s">
        <v>159</v>
      </c>
      <c r="B8" s="112">
        <v>8000000</v>
      </c>
      <c r="C8" s="22">
        <f t="shared" ref="C8:H8" si="1">B8+C33-C34</f>
        <v>7690000</v>
      </c>
      <c r="D8" s="22">
        <f t="shared" si="1"/>
        <v>7370000</v>
      </c>
      <c r="E8" s="22">
        <f t="shared" si="1"/>
        <v>7990000</v>
      </c>
      <c r="F8" s="22">
        <f t="shared" si="1"/>
        <v>7600000</v>
      </c>
      <c r="G8" s="22">
        <f t="shared" si="1"/>
        <v>7200000</v>
      </c>
      <c r="H8" s="66">
        <f t="shared" si="1"/>
        <v>6790000</v>
      </c>
      <c r="I8" s="13"/>
      <c r="J8" s="13"/>
      <c r="K8" s="13"/>
      <c r="L8" s="13"/>
      <c r="M8" s="13"/>
      <c r="N8" s="13"/>
      <c r="O8" s="13"/>
      <c r="P8" s="13"/>
    </row>
    <row r="9" spans="1:16" x14ac:dyDescent="0.25">
      <c r="A9" s="65" t="s">
        <v>162</v>
      </c>
      <c r="B9" s="112">
        <v>6000000</v>
      </c>
      <c r="C9" s="5">
        <f>B9</f>
        <v>6000000</v>
      </c>
      <c r="D9" s="5">
        <f t="shared" ref="D9:H9" si="2">C9</f>
        <v>6000000</v>
      </c>
      <c r="E9" s="5">
        <f t="shared" si="2"/>
        <v>6000000</v>
      </c>
      <c r="F9" s="5">
        <f t="shared" si="2"/>
        <v>6000000</v>
      </c>
      <c r="G9" s="5">
        <f t="shared" si="2"/>
        <v>6000000</v>
      </c>
      <c r="H9" s="67">
        <f t="shared" si="2"/>
        <v>6000000</v>
      </c>
      <c r="I9" s="13"/>
      <c r="J9" s="13"/>
      <c r="K9" s="13"/>
      <c r="L9" s="13"/>
      <c r="M9" s="13"/>
      <c r="N9" s="13"/>
      <c r="O9" s="13"/>
      <c r="P9" s="13"/>
    </row>
    <row r="10" spans="1:16" x14ac:dyDescent="0.25">
      <c r="A10" s="69" t="s">
        <v>163</v>
      </c>
      <c r="B10" s="119">
        <f>B8+B9</f>
        <v>14000000</v>
      </c>
      <c r="C10" s="119">
        <f t="shared" ref="C10:H10" si="3">C8+C9</f>
        <v>13690000</v>
      </c>
      <c r="D10" s="119">
        <f t="shared" si="3"/>
        <v>13370000</v>
      </c>
      <c r="E10" s="119">
        <f t="shared" si="3"/>
        <v>13990000</v>
      </c>
      <c r="F10" s="119">
        <f t="shared" si="3"/>
        <v>13600000</v>
      </c>
      <c r="G10" s="119">
        <f t="shared" si="3"/>
        <v>13200000</v>
      </c>
      <c r="H10" s="120">
        <f t="shared" si="3"/>
        <v>12790000</v>
      </c>
      <c r="I10" s="13"/>
      <c r="J10" s="13"/>
      <c r="K10" s="13"/>
      <c r="L10" s="13"/>
      <c r="M10" s="13"/>
      <c r="N10" s="13"/>
      <c r="O10" s="13"/>
      <c r="P10" s="13"/>
    </row>
    <row r="11" spans="1:16" ht="6" customHeight="1" x14ac:dyDescent="0.25">
      <c r="A11" s="65"/>
      <c r="B11" s="121"/>
      <c r="C11" s="23"/>
      <c r="D11" s="23"/>
      <c r="E11" s="23"/>
      <c r="F11" s="23"/>
      <c r="G11" s="23"/>
      <c r="H11" s="122"/>
      <c r="I11" s="13"/>
      <c r="J11" s="13"/>
      <c r="K11" s="13"/>
      <c r="L11" s="13"/>
      <c r="M11" s="13"/>
      <c r="N11" s="13"/>
      <c r="O11" s="13"/>
      <c r="P11" s="13"/>
    </row>
    <row r="12" spans="1:16" x14ac:dyDescent="0.25">
      <c r="A12" s="69" t="s">
        <v>164</v>
      </c>
      <c r="B12" s="123">
        <f>B6+B10</f>
        <v>16500000</v>
      </c>
      <c r="C12" s="123">
        <f t="shared" ref="C12:H12" si="4">C6+C10</f>
        <v>20418689.219239116</v>
      </c>
      <c r="D12" s="123">
        <f t="shared" si="4"/>
        <v>22328384.173454408</v>
      </c>
      <c r="E12" s="123">
        <f t="shared" si="4"/>
        <v>22250964.509325903</v>
      </c>
      <c r="F12" s="123">
        <f t="shared" si="4"/>
        <v>17728835.385493521</v>
      </c>
      <c r="G12" s="123">
        <f t="shared" si="4"/>
        <v>10625716.999380572</v>
      </c>
      <c r="H12" s="124">
        <f t="shared" si="4"/>
        <v>-510755.12025911361</v>
      </c>
      <c r="I12" s="13"/>
      <c r="J12" s="13"/>
      <c r="K12" s="13"/>
      <c r="L12" s="13"/>
      <c r="M12" s="13"/>
      <c r="N12" s="13"/>
      <c r="O12" s="13"/>
      <c r="P12" s="13"/>
    </row>
    <row r="13" spans="1:16" ht="9.75" customHeight="1" x14ac:dyDescent="0.25">
      <c r="A13" s="139"/>
      <c r="B13" s="121"/>
      <c r="C13" s="23"/>
      <c r="D13" s="23"/>
      <c r="E13" s="23"/>
      <c r="F13" s="23"/>
      <c r="G13" s="23"/>
      <c r="H13" s="122"/>
      <c r="I13" s="13"/>
      <c r="J13" s="13"/>
      <c r="K13" s="13"/>
      <c r="L13" s="13"/>
      <c r="M13" s="13"/>
      <c r="N13" s="13"/>
      <c r="O13" s="13"/>
      <c r="P13" s="13"/>
    </row>
    <row r="14" spans="1:16" x14ac:dyDescent="0.25">
      <c r="A14" s="65" t="s">
        <v>165</v>
      </c>
      <c r="B14" s="112">
        <v>3300000</v>
      </c>
      <c r="C14" s="22">
        <f>$B$26*Summary!F18</f>
        <v>3394430</v>
      </c>
      <c r="D14" s="22">
        <f>$B$26*Summary!G18</f>
        <v>3428965.9559999993</v>
      </c>
      <c r="E14" s="22">
        <f>$B$26*Summary!H18</f>
        <v>3504423.7445776002</v>
      </c>
      <c r="F14" s="22">
        <f>$B$26*Summary!I18</f>
        <v>3563125.0219573784</v>
      </c>
      <c r="G14" s="22">
        <f>$B$26*Summary!J18</f>
        <v>3686546.311861217</v>
      </c>
      <c r="H14" s="66">
        <f>$B$26*Summary!K18</f>
        <v>3782042.6384593574</v>
      </c>
      <c r="I14" s="13"/>
      <c r="J14" s="13"/>
      <c r="K14" s="13"/>
      <c r="L14" s="13"/>
      <c r="M14" s="13"/>
      <c r="N14" s="13"/>
      <c r="O14" s="13"/>
      <c r="P14" s="13"/>
    </row>
    <row r="15" spans="1:16" x14ac:dyDescent="0.25">
      <c r="A15" s="65" t="s">
        <v>168</v>
      </c>
      <c r="B15" s="19">
        <f>B39</f>
        <v>4700000</v>
      </c>
      <c r="C15" s="19">
        <f t="shared" ref="C15:H15" si="5">C39</f>
        <v>4300000</v>
      </c>
      <c r="D15" s="19">
        <f t="shared" si="5"/>
        <v>4000000</v>
      </c>
      <c r="E15" s="19">
        <f t="shared" si="5"/>
        <v>4700000</v>
      </c>
      <c r="F15" s="19">
        <f t="shared" si="5"/>
        <v>4300000</v>
      </c>
      <c r="G15" s="19">
        <f t="shared" si="5"/>
        <v>3700000</v>
      </c>
      <c r="H15" s="125">
        <f t="shared" si="5"/>
        <v>3100000</v>
      </c>
      <c r="I15" s="13"/>
      <c r="J15" s="13"/>
      <c r="K15" s="13"/>
      <c r="L15" s="13"/>
      <c r="M15" s="13"/>
      <c r="N15" s="13"/>
      <c r="O15" s="13"/>
      <c r="P15" s="13"/>
    </row>
    <row r="16" spans="1:16" ht="6.75" customHeight="1" x14ac:dyDescent="0.25">
      <c r="A16" s="65"/>
      <c r="B16" s="126"/>
      <c r="C16" s="29"/>
      <c r="D16" s="29"/>
      <c r="E16" s="29"/>
      <c r="F16" s="29"/>
      <c r="G16" s="29"/>
      <c r="H16" s="58"/>
      <c r="I16" s="13"/>
      <c r="J16" s="13"/>
      <c r="K16" s="13"/>
      <c r="L16" s="13"/>
      <c r="M16" s="13"/>
      <c r="N16" s="13"/>
      <c r="O16" s="13"/>
      <c r="P16" s="13"/>
    </row>
    <row r="17" spans="1:16" x14ac:dyDescent="0.25">
      <c r="A17" s="69" t="s">
        <v>174</v>
      </c>
      <c r="B17" s="127">
        <f>B14+B15</f>
        <v>8000000</v>
      </c>
      <c r="C17" s="127">
        <f t="shared" ref="C17:H17" si="6">C14+C15</f>
        <v>7694430</v>
      </c>
      <c r="D17" s="127">
        <f t="shared" si="6"/>
        <v>7428965.9559999993</v>
      </c>
      <c r="E17" s="127">
        <f t="shared" si="6"/>
        <v>8204423.7445775997</v>
      </c>
      <c r="F17" s="127">
        <f t="shared" si="6"/>
        <v>7863125.0219573788</v>
      </c>
      <c r="G17" s="127">
        <f t="shared" si="6"/>
        <v>7386546.311861217</v>
      </c>
      <c r="H17" s="128">
        <f t="shared" si="6"/>
        <v>6882042.6384593574</v>
      </c>
      <c r="I17" s="13"/>
      <c r="J17" s="13"/>
      <c r="K17" s="13"/>
      <c r="L17" s="13"/>
      <c r="M17" s="13"/>
      <c r="N17" s="13"/>
      <c r="O17" s="13"/>
      <c r="P17" s="13"/>
    </row>
    <row r="18" spans="1:16" x14ac:dyDescent="0.25">
      <c r="A18" s="65" t="s">
        <v>175</v>
      </c>
      <c r="B18" s="117">
        <f>B12-B17</f>
        <v>8500000</v>
      </c>
      <c r="C18" s="117">
        <f t="shared" ref="C18:H18" si="7">C12-C17</f>
        <v>12724259.219239116</v>
      </c>
      <c r="D18" s="117">
        <f t="shared" si="7"/>
        <v>14899418.217454407</v>
      </c>
      <c r="E18" s="117">
        <f t="shared" si="7"/>
        <v>14046540.764748303</v>
      </c>
      <c r="F18" s="117">
        <f t="shared" si="7"/>
        <v>9865710.3635361418</v>
      </c>
      <c r="G18" s="117">
        <f t="shared" si="7"/>
        <v>3239170.6875193547</v>
      </c>
      <c r="H18" s="129">
        <f t="shared" si="7"/>
        <v>-7392797.758718471</v>
      </c>
      <c r="I18" s="13"/>
      <c r="J18" s="13"/>
      <c r="K18" s="13"/>
      <c r="L18" s="13"/>
      <c r="M18" s="13"/>
      <c r="N18" s="13"/>
      <c r="O18" s="13"/>
      <c r="P18" s="13"/>
    </row>
    <row r="19" spans="1:16" ht="15.75" thickBot="1" x14ac:dyDescent="0.3">
      <c r="A19" s="130" t="s">
        <v>179</v>
      </c>
      <c r="B19" s="131"/>
      <c r="C19" s="71">
        <f>C18-B18</f>
        <v>4224259.2192391157</v>
      </c>
      <c r="D19" s="71">
        <f t="shared" ref="D19:H19" si="8">D18-C18</f>
        <v>2175158.9982152916</v>
      </c>
      <c r="E19" s="71">
        <f t="shared" si="8"/>
        <v>-852877.45270610414</v>
      </c>
      <c r="F19" s="71">
        <f t="shared" si="8"/>
        <v>-4180830.4012121614</v>
      </c>
      <c r="G19" s="71">
        <f t="shared" si="8"/>
        <v>-6626539.6760167871</v>
      </c>
      <c r="H19" s="72">
        <f t="shared" si="8"/>
        <v>-10631968.446237825</v>
      </c>
      <c r="I19" s="13"/>
      <c r="J19" s="13"/>
      <c r="K19" s="13"/>
      <c r="L19" s="13"/>
      <c r="M19" s="13"/>
      <c r="N19" s="13"/>
      <c r="O19" s="13"/>
      <c r="P19" s="13"/>
    </row>
    <row r="20" spans="1:16" x14ac:dyDescent="0.25">
      <c r="A20" s="11" t="s">
        <v>180</v>
      </c>
      <c r="B20" s="105"/>
      <c r="C20" s="4">
        <f>Summary!F20</f>
        <v>4224259.2192391157</v>
      </c>
      <c r="D20" s="4">
        <f>Summary!G20</f>
        <v>2175158.9982152916</v>
      </c>
      <c r="E20" s="4">
        <f>Summary!H20</f>
        <v>-852877.45270610601</v>
      </c>
      <c r="F20" s="4">
        <f>Summary!I20</f>
        <v>-4180830.4012121595</v>
      </c>
      <c r="G20" s="4">
        <f>Summary!J20</f>
        <v>-6626539.6760167889</v>
      </c>
      <c r="H20" s="4">
        <f>Summary!K20</f>
        <v>-10631968.446237825</v>
      </c>
      <c r="I20" s="13"/>
      <c r="J20" s="13"/>
      <c r="K20" s="13"/>
      <c r="L20" s="13"/>
      <c r="M20" s="13"/>
      <c r="N20" s="13"/>
      <c r="O20" s="13"/>
      <c r="P20" s="13"/>
    </row>
    <row r="21" spans="1:16" x14ac:dyDescent="0.25">
      <c r="A21" s="11" t="s">
        <v>181</v>
      </c>
      <c r="B21" s="105"/>
      <c r="C21" s="113">
        <f t="shared" ref="C21:H21" si="9">C19-C20</f>
        <v>0</v>
      </c>
      <c r="D21" s="113">
        <f t="shared" si="9"/>
        <v>0</v>
      </c>
      <c r="E21" s="113">
        <f t="shared" si="9"/>
        <v>1.862645149230957E-9</v>
      </c>
      <c r="F21" s="113">
        <f t="shared" si="9"/>
        <v>0</v>
      </c>
      <c r="G21" s="113">
        <f t="shared" si="9"/>
        <v>0</v>
      </c>
      <c r="H21" s="113">
        <f t="shared" si="9"/>
        <v>0</v>
      </c>
      <c r="I21" s="13"/>
      <c r="J21" s="13"/>
      <c r="K21" s="13"/>
      <c r="L21" s="13"/>
      <c r="M21" s="13"/>
      <c r="N21" s="13"/>
      <c r="O21" s="13"/>
      <c r="P21" s="13"/>
    </row>
    <row r="22" spans="1:16" x14ac:dyDescent="0.25">
      <c r="A22" s="105"/>
      <c r="B22" s="105"/>
      <c r="C22" s="116"/>
      <c r="D22" s="116"/>
      <c r="E22" s="116"/>
      <c r="F22" s="116"/>
      <c r="G22" s="116"/>
      <c r="H22" s="116"/>
      <c r="I22" s="13"/>
      <c r="J22" s="13"/>
      <c r="K22" s="13"/>
      <c r="L22" s="13"/>
      <c r="M22" s="13"/>
      <c r="N22" s="13"/>
      <c r="O22" s="13"/>
      <c r="P22" s="13"/>
    </row>
    <row r="23" spans="1:16" x14ac:dyDescent="0.25">
      <c r="A23" s="165" t="s">
        <v>200</v>
      </c>
      <c r="B23" s="105"/>
      <c r="C23" s="116"/>
      <c r="D23" s="116"/>
      <c r="E23" s="116"/>
      <c r="F23" s="116"/>
      <c r="G23" s="116"/>
      <c r="H23" s="116"/>
      <c r="I23" s="13"/>
      <c r="J23" s="13"/>
      <c r="K23" s="13"/>
      <c r="L23" s="13"/>
      <c r="M23" s="13"/>
      <c r="N23" s="13"/>
      <c r="O23" s="13"/>
      <c r="P23" s="13"/>
    </row>
    <row r="24" spans="1:16" x14ac:dyDescent="0.25">
      <c r="A24" s="11" t="s">
        <v>154</v>
      </c>
      <c r="B24" s="161">
        <v>0.05</v>
      </c>
      <c r="C24" s="16"/>
      <c r="D24" s="16"/>
      <c r="E24" s="16"/>
      <c r="F24" s="16"/>
      <c r="G24" s="16"/>
      <c r="H24" s="16"/>
      <c r="I24" s="13"/>
      <c r="J24" s="13"/>
      <c r="K24" s="13"/>
      <c r="L24" s="13"/>
      <c r="M24" s="13"/>
      <c r="N24" s="13"/>
      <c r="O24" s="13"/>
      <c r="P24" s="13"/>
    </row>
    <row r="25" spans="1:16" x14ac:dyDescent="0.25">
      <c r="A25" s="11" t="s">
        <v>193</v>
      </c>
      <c r="B25" s="31">
        <v>0.02</v>
      </c>
      <c r="C25" s="75" t="s">
        <v>194</v>
      </c>
      <c r="D25" s="16"/>
      <c r="E25" s="16"/>
      <c r="F25" s="16"/>
      <c r="G25" s="16"/>
      <c r="H25" s="16"/>
      <c r="I25" s="13"/>
      <c r="J25" s="13"/>
      <c r="K25" s="13"/>
      <c r="L25" s="13"/>
      <c r="M25" s="13"/>
      <c r="N25" s="13"/>
      <c r="O25" s="13"/>
      <c r="P25" s="13"/>
    </row>
    <row r="26" spans="1:16" x14ac:dyDescent="0.25">
      <c r="A26" s="11" t="s">
        <v>166</v>
      </c>
      <c r="B26" s="161">
        <v>0.13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6" x14ac:dyDescent="0.25">
      <c r="A27" s="165" t="s">
        <v>199</v>
      </c>
      <c r="B27" s="164"/>
      <c r="C27" s="16"/>
      <c r="D27" s="16"/>
      <c r="E27" s="16"/>
      <c r="F27" s="16"/>
      <c r="G27" s="16"/>
      <c r="H27" s="16"/>
      <c r="I27" s="13"/>
      <c r="J27" s="13"/>
      <c r="K27" s="13"/>
      <c r="L27" s="13"/>
      <c r="M27" s="13"/>
      <c r="N27" s="13"/>
      <c r="O27" s="13"/>
      <c r="P27" s="13"/>
    </row>
    <row r="28" spans="1:16" x14ac:dyDescent="0.25">
      <c r="A28" s="11" t="str">
        <f t="shared" ref="A28:H28" si="10">A2</f>
        <v>Year End:</v>
      </c>
      <c r="B28" s="151">
        <f t="shared" si="10"/>
        <v>2021</v>
      </c>
      <c r="C28" s="151">
        <f t="shared" si="10"/>
        <v>2022</v>
      </c>
      <c r="D28" s="151">
        <f t="shared" si="10"/>
        <v>2023</v>
      </c>
      <c r="E28" s="151">
        <f t="shared" si="10"/>
        <v>2024</v>
      </c>
      <c r="F28" s="151">
        <f t="shared" si="10"/>
        <v>2025</v>
      </c>
      <c r="G28" s="151">
        <f t="shared" si="10"/>
        <v>2026</v>
      </c>
      <c r="H28" s="151">
        <f t="shared" si="10"/>
        <v>2027</v>
      </c>
      <c r="I28" s="13"/>
      <c r="J28" s="13"/>
      <c r="K28" s="13"/>
      <c r="L28" s="13"/>
      <c r="M28" s="13"/>
      <c r="N28" s="13"/>
      <c r="O28" s="13"/>
      <c r="P28" s="13"/>
    </row>
    <row r="29" spans="1:16" x14ac:dyDescent="0.25">
      <c r="A29" s="11" t="s">
        <v>183</v>
      </c>
      <c r="B29" s="112">
        <v>10000000</v>
      </c>
      <c r="C29" s="6">
        <f t="shared" ref="C29:H29" si="11">B29+C33</f>
        <v>10200000</v>
      </c>
      <c r="D29" s="6">
        <f t="shared" si="11"/>
        <v>10400000</v>
      </c>
      <c r="E29" s="6">
        <f t="shared" si="11"/>
        <v>11600000</v>
      </c>
      <c r="F29" s="6">
        <f t="shared" si="11"/>
        <v>11800000</v>
      </c>
      <c r="G29" s="6">
        <f t="shared" si="11"/>
        <v>12000000</v>
      </c>
      <c r="H29" s="6">
        <f t="shared" si="11"/>
        <v>12200000</v>
      </c>
      <c r="I29" s="13"/>
      <c r="J29" s="13"/>
      <c r="K29" s="13"/>
      <c r="L29" s="13"/>
      <c r="M29" s="13"/>
      <c r="N29" s="13"/>
      <c r="O29" s="13"/>
      <c r="P29" s="13"/>
    </row>
    <row r="30" spans="1:16" x14ac:dyDescent="0.25">
      <c r="A30" s="11" t="s">
        <v>157</v>
      </c>
      <c r="B30" s="142">
        <v>20</v>
      </c>
      <c r="C30" s="13"/>
      <c r="D30" s="16"/>
      <c r="E30" s="16"/>
      <c r="F30" s="16"/>
      <c r="G30" s="16"/>
      <c r="H30" s="16"/>
      <c r="I30" s="13"/>
      <c r="J30" s="13"/>
      <c r="K30" s="13"/>
      <c r="L30" s="13"/>
      <c r="M30" s="13"/>
      <c r="N30" s="13"/>
      <c r="O30" s="13"/>
      <c r="P30" s="13"/>
    </row>
    <row r="31" spans="1:16" x14ac:dyDescent="0.25">
      <c r="A31" s="11" t="s">
        <v>177</v>
      </c>
      <c r="B31" s="112">
        <v>200000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 x14ac:dyDescent="0.25">
      <c r="A32" s="11" t="str">
        <f t="shared" ref="A32:H32" si="12">A2</f>
        <v>Year End:</v>
      </c>
      <c r="B32" s="132">
        <f t="shared" si="12"/>
        <v>2021</v>
      </c>
      <c r="C32" s="132">
        <f t="shared" si="12"/>
        <v>2022</v>
      </c>
      <c r="D32" s="132">
        <f t="shared" si="12"/>
        <v>2023</v>
      </c>
      <c r="E32" s="132">
        <f t="shared" si="12"/>
        <v>2024</v>
      </c>
      <c r="F32" s="132">
        <f t="shared" si="12"/>
        <v>2025</v>
      </c>
      <c r="G32" s="132">
        <f t="shared" si="12"/>
        <v>2026</v>
      </c>
      <c r="H32" s="132">
        <f t="shared" si="12"/>
        <v>2027</v>
      </c>
      <c r="I32" s="13"/>
      <c r="J32" s="13"/>
      <c r="K32" s="13"/>
      <c r="L32" s="13"/>
      <c r="M32" s="13"/>
      <c r="N32" s="13"/>
      <c r="O32" s="13"/>
      <c r="P32" s="13"/>
    </row>
    <row r="33" spans="1:16" x14ac:dyDescent="0.25">
      <c r="A33" s="11" t="s">
        <v>158</v>
      </c>
      <c r="B33" s="16"/>
      <c r="C33" s="6">
        <f t="shared" ref="C33:H33" si="13">$B$31+C37</f>
        <v>200000</v>
      </c>
      <c r="D33" s="6">
        <f t="shared" si="13"/>
        <v>200000</v>
      </c>
      <c r="E33" s="6">
        <f>$B$31+E37</f>
        <v>1200000</v>
      </c>
      <c r="F33" s="6">
        <f t="shared" si="13"/>
        <v>200000</v>
      </c>
      <c r="G33" s="6">
        <f t="shared" si="13"/>
        <v>200000</v>
      </c>
      <c r="H33" s="6">
        <f t="shared" si="13"/>
        <v>200000</v>
      </c>
      <c r="I33" s="8" t="s">
        <v>176</v>
      </c>
      <c r="J33" s="8"/>
      <c r="K33" s="8"/>
      <c r="L33" s="8"/>
      <c r="M33" s="8"/>
      <c r="N33" s="13"/>
      <c r="O33" s="13"/>
      <c r="P33" s="13"/>
    </row>
    <row r="34" spans="1:16" x14ac:dyDescent="0.25">
      <c r="A34" s="11" t="s">
        <v>160</v>
      </c>
      <c r="B34" s="166"/>
      <c r="C34" s="114">
        <f t="shared" ref="C34:H34" si="14">C29/$B$30</f>
        <v>510000</v>
      </c>
      <c r="D34" s="114">
        <f t="shared" si="14"/>
        <v>520000</v>
      </c>
      <c r="E34" s="114">
        <f t="shared" si="14"/>
        <v>580000</v>
      </c>
      <c r="F34" s="114">
        <f t="shared" si="14"/>
        <v>590000</v>
      </c>
      <c r="G34" s="114">
        <f t="shared" si="14"/>
        <v>600000</v>
      </c>
      <c r="H34" s="114">
        <f t="shared" si="14"/>
        <v>610000</v>
      </c>
      <c r="I34" s="13"/>
      <c r="J34" s="13"/>
      <c r="K34" s="13"/>
      <c r="L34" s="13"/>
      <c r="M34" s="13"/>
      <c r="N34" s="13"/>
      <c r="O34" s="13"/>
      <c r="P34" s="13"/>
    </row>
    <row r="35" spans="1:16" x14ac:dyDescent="0.25">
      <c r="A35" s="165" t="s">
        <v>168</v>
      </c>
      <c r="B35" s="105"/>
      <c r="C35" s="16"/>
      <c r="D35" s="16"/>
      <c r="E35" s="16"/>
      <c r="F35" s="16"/>
      <c r="G35" s="16"/>
      <c r="H35" s="16"/>
      <c r="I35" s="13"/>
      <c r="J35" s="13"/>
      <c r="K35" s="13"/>
      <c r="L35" s="13"/>
      <c r="M35" s="13"/>
      <c r="N35" s="13"/>
      <c r="O35" s="13"/>
      <c r="P35" s="13"/>
    </row>
    <row r="36" spans="1:16" x14ac:dyDescent="0.25">
      <c r="A36" s="11" t="s">
        <v>171</v>
      </c>
      <c r="B36" s="2">
        <v>5000000</v>
      </c>
      <c r="C36" s="6">
        <f>B39</f>
        <v>4700000</v>
      </c>
      <c r="D36" s="6">
        <f t="shared" ref="D36:H36" si="15">C39</f>
        <v>4300000</v>
      </c>
      <c r="E36" s="6">
        <f t="shared" si="15"/>
        <v>4000000</v>
      </c>
      <c r="F36" s="6">
        <f t="shared" si="15"/>
        <v>4700000</v>
      </c>
      <c r="G36" s="6">
        <f t="shared" si="15"/>
        <v>4300000</v>
      </c>
      <c r="H36" s="6">
        <f t="shared" si="15"/>
        <v>3700000</v>
      </c>
      <c r="I36" s="13"/>
      <c r="J36" s="13"/>
      <c r="K36" s="13"/>
      <c r="L36" s="13"/>
      <c r="M36" s="13"/>
      <c r="N36" s="13"/>
      <c r="O36" s="13"/>
      <c r="P36" s="13"/>
    </row>
    <row r="37" spans="1:16" x14ac:dyDescent="0.25">
      <c r="A37" s="115" t="s">
        <v>201</v>
      </c>
      <c r="B37" s="2">
        <v>0</v>
      </c>
      <c r="C37" s="2">
        <v>0</v>
      </c>
      <c r="D37" s="2">
        <v>0</v>
      </c>
      <c r="E37" s="2">
        <v>1000000</v>
      </c>
      <c r="F37" s="2">
        <v>0</v>
      </c>
      <c r="G37" s="2">
        <v>0</v>
      </c>
      <c r="H37" s="2">
        <v>0</v>
      </c>
      <c r="I37" s="13"/>
      <c r="J37" s="13"/>
      <c r="K37" s="13"/>
      <c r="L37" s="13"/>
      <c r="M37" s="13"/>
      <c r="N37" s="13"/>
      <c r="O37" s="13"/>
      <c r="P37" s="13"/>
    </row>
    <row r="38" spans="1:16" x14ac:dyDescent="0.25">
      <c r="A38" s="115" t="s">
        <v>170</v>
      </c>
      <c r="B38" s="2">
        <v>300000</v>
      </c>
      <c r="C38" s="2">
        <v>400000</v>
      </c>
      <c r="D38" s="2">
        <v>300000</v>
      </c>
      <c r="E38" s="2">
        <v>300000</v>
      </c>
      <c r="F38" s="2">
        <v>400000</v>
      </c>
      <c r="G38" s="2">
        <v>600000</v>
      </c>
      <c r="H38" s="2">
        <v>600000</v>
      </c>
      <c r="I38" s="13"/>
      <c r="J38" s="13"/>
      <c r="K38" s="13"/>
      <c r="L38" s="13"/>
      <c r="M38" s="13"/>
      <c r="N38" s="13"/>
      <c r="O38" s="13"/>
      <c r="P38" s="13"/>
    </row>
    <row r="39" spans="1:16" x14ac:dyDescent="0.25">
      <c r="A39" s="115" t="s">
        <v>172</v>
      </c>
      <c r="B39" s="6">
        <f>B36+B37-B38</f>
        <v>4700000</v>
      </c>
      <c r="C39" s="6">
        <f>C36+C37-C38</f>
        <v>4300000</v>
      </c>
      <c r="D39" s="6">
        <f t="shared" ref="D39:H39" si="16">D36+D37-D38</f>
        <v>4000000</v>
      </c>
      <c r="E39" s="6">
        <f>E36+E37-E38</f>
        <v>4700000</v>
      </c>
      <c r="F39" s="6">
        <f t="shared" si="16"/>
        <v>4300000</v>
      </c>
      <c r="G39" s="6">
        <f t="shared" si="16"/>
        <v>3700000</v>
      </c>
      <c r="H39" s="6">
        <f t="shared" si="16"/>
        <v>3100000</v>
      </c>
      <c r="I39" s="13"/>
      <c r="J39" s="13"/>
      <c r="K39" s="13"/>
      <c r="L39" s="13"/>
      <c r="M39" s="13"/>
      <c r="N39" s="13"/>
      <c r="O39" s="13"/>
      <c r="P39" s="13"/>
    </row>
    <row r="40" spans="1:1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1:16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1:16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1:16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6FBB-845A-4777-B800-9C21CB08F56F}">
  <dimension ref="A1:N73"/>
  <sheetViews>
    <sheetView workbookViewId="0"/>
  </sheetViews>
  <sheetFormatPr defaultRowHeight="15" x14ac:dyDescent="0.25"/>
  <cols>
    <col min="1" max="1" width="39" customWidth="1"/>
    <col min="2" max="7" width="12.28515625" style="109" customWidth="1"/>
  </cols>
  <sheetData>
    <row r="1" spans="1:14" ht="15.75" x14ac:dyDescent="0.25">
      <c r="A1" s="104" t="str">
        <f>Summary!A1</f>
        <v>Big Desert College</v>
      </c>
      <c r="B1" s="62"/>
      <c r="C1" s="62"/>
      <c r="D1" s="62"/>
      <c r="E1" s="62"/>
      <c r="F1" s="62"/>
      <c r="G1" s="62"/>
      <c r="H1" s="13"/>
      <c r="I1" s="13"/>
      <c r="J1" s="13"/>
      <c r="K1" s="13"/>
      <c r="L1" s="13"/>
      <c r="M1" s="13"/>
      <c r="N1" s="13"/>
    </row>
    <row r="2" spans="1:14" x14ac:dyDescent="0.25">
      <c r="A2" s="10" t="s">
        <v>139</v>
      </c>
      <c r="B2" s="136">
        <f>Summary!F3-1</f>
        <v>2021</v>
      </c>
      <c r="C2" s="136">
        <f>B2+1</f>
        <v>2022</v>
      </c>
      <c r="D2" s="136">
        <f t="shared" ref="D2:G2" si="0">C2+1</f>
        <v>2023</v>
      </c>
      <c r="E2" s="136">
        <f t="shared" si="0"/>
        <v>2024</v>
      </c>
      <c r="F2" s="136">
        <f t="shared" si="0"/>
        <v>2025</v>
      </c>
      <c r="G2" s="136">
        <f t="shared" si="0"/>
        <v>2026</v>
      </c>
      <c r="H2" s="13"/>
      <c r="I2" s="13"/>
      <c r="J2" s="13"/>
      <c r="K2" s="13"/>
      <c r="L2" s="13"/>
      <c r="M2" s="13"/>
      <c r="N2" s="13"/>
    </row>
    <row r="3" spans="1:14" x14ac:dyDescent="0.25">
      <c r="A3" s="10" t="s">
        <v>138</v>
      </c>
      <c r="B3" s="22">
        <f>BalSheet!B3</f>
        <v>500000</v>
      </c>
      <c r="C3" s="22">
        <f>B13</f>
        <v>4483926.2582771601</v>
      </c>
      <c r="D3" s="22">
        <f t="shared" ref="D3:G3" si="1">C13</f>
        <v>6773673.1635436425</v>
      </c>
      <c r="E3" s="22">
        <f t="shared" si="1"/>
        <v>6168348.2955852076</v>
      </c>
      <c r="F3" s="22">
        <f t="shared" si="1"/>
        <v>2148543.2128012916</v>
      </c>
      <c r="G3" s="22">
        <f t="shared" si="1"/>
        <v>-4512515.4761375189</v>
      </c>
      <c r="H3" s="13"/>
      <c r="I3" s="13"/>
      <c r="J3" s="13"/>
      <c r="K3" s="13"/>
      <c r="L3" s="13"/>
      <c r="M3" s="13"/>
      <c r="N3" s="13"/>
    </row>
    <row r="4" spans="1:14" x14ac:dyDescent="0.25">
      <c r="A4" s="10" t="s">
        <v>140</v>
      </c>
      <c r="B4" s="4">
        <f>Summary!F20</f>
        <v>4224259.2192391157</v>
      </c>
      <c r="C4" s="4">
        <f>Summary!G20</f>
        <v>2175158.9982152916</v>
      </c>
      <c r="D4" s="4">
        <f>Summary!H20</f>
        <v>-852877.45270610601</v>
      </c>
      <c r="E4" s="4">
        <f>Summary!I20</f>
        <v>-4180830.4012121595</v>
      </c>
      <c r="F4" s="4">
        <f>Summary!J20</f>
        <v>-6626539.6760167889</v>
      </c>
      <c r="G4" s="4">
        <f>Summary!K20</f>
        <v>-10631968.446237825</v>
      </c>
      <c r="H4" s="13"/>
      <c r="I4" s="13"/>
      <c r="J4" s="13"/>
      <c r="K4" s="13"/>
      <c r="L4" s="13"/>
      <c r="M4" s="13"/>
      <c r="N4" s="13"/>
    </row>
    <row r="5" spans="1:14" x14ac:dyDescent="0.25">
      <c r="A5" s="27" t="s">
        <v>191</v>
      </c>
      <c r="B5" s="4">
        <f>-BalSheet!C4+BalSheet!B4</f>
        <v>-216762.96096195583</v>
      </c>
      <c r="C5" s="4">
        <f>-BalSheet!D4+BalSheet!C4</f>
        <v>89171.951051191427</v>
      </c>
      <c r="D5" s="4">
        <f>-BalSheet!E4+BalSheet!D4</f>
        <v>122379.59617006965</v>
      </c>
      <c r="E5" s="4">
        <f>-BalSheet!F4+BalSheet!E4</f>
        <v>143820.23304846487</v>
      </c>
      <c r="F5" s="4">
        <f>-BalSheet!G4+BalSheet!F4</f>
        <v>74815.736854139715</v>
      </c>
      <c r="G5" s="4">
        <f>-BalSheet!H4+BalSheet!G4</f>
        <v>163542.08212715166</v>
      </c>
      <c r="H5" s="13"/>
      <c r="I5" s="13"/>
      <c r="J5" s="13"/>
      <c r="K5" s="13"/>
      <c r="L5" s="13"/>
      <c r="M5" s="13"/>
      <c r="N5" s="13"/>
    </row>
    <row r="6" spans="1:14" x14ac:dyDescent="0.25">
      <c r="A6" s="27" t="s">
        <v>192</v>
      </c>
      <c r="B6" s="4">
        <f>-BalSheet!C5+BalSheet!B5</f>
        <v>-28000</v>
      </c>
      <c r="C6" s="4">
        <f>-BalSheet!D5+BalSheet!C5</f>
        <v>-29120</v>
      </c>
      <c r="D6" s="4">
        <f>-BalSheet!E5+BalSheet!D5</f>
        <v>-30284.800000000047</v>
      </c>
      <c r="E6" s="4">
        <f>-BalSheet!F5+BalSheet!E5</f>
        <v>-31496.192000000039</v>
      </c>
      <c r="F6" s="4">
        <f>-BalSheet!G5+BalSheet!F5</f>
        <v>-32756.039680000045</v>
      </c>
      <c r="G6" s="4">
        <f>-BalSheet!H5+BalSheet!G5</f>
        <v>-34066.281267200015</v>
      </c>
      <c r="H6" s="13"/>
      <c r="I6" s="13"/>
      <c r="J6" s="13"/>
      <c r="K6" s="13"/>
      <c r="L6" s="13"/>
      <c r="M6" s="13"/>
      <c r="N6" s="13"/>
    </row>
    <row r="7" spans="1:14" x14ac:dyDescent="0.25">
      <c r="A7" s="27" t="s">
        <v>198</v>
      </c>
      <c r="B7" s="4">
        <f>BalSheet!C14-BalSheet!B14</f>
        <v>94430</v>
      </c>
      <c r="C7" s="4">
        <f>BalSheet!D14-BalSheet!C14</f>
        <v>34535.955999999307</v>
      </c>
      <c r="D7" s="4">
        <f>BalSheet!E14-BalSheet!D14</f>
        <v>75457.788577600848</v>
      </c>
      <c r="E7" s="4">
        <f>BalSheet!F14-BalSheet!E14</f>
        <v>58701.277379778214</v>
      </c>
      <c r="F7" s="4">
        <f>BalSheet!G14-BalSheet!F14</f>
        <v>123421.28990383865</v>
      </c>
      <c r="G7" s="4">
        <f>BalSheet!H14-BalSheet!G14</f>
        <v>95496.326598140411</v>
      </c>
      <c r="H7" s="13"/>
      <c r="I7" s="13"/>
      <c r="J7" s="13"/>
      <c r="K7" s="13"/>
      <c r="L7" s="13"/>
      <c r="M7" s="13"/>
      <c r="N7" s="13"/>
    </row>
    <row r="8" spans="1:14" x14ac:dyDescent="0.25">
      <c r="A8" s="27" t="s">
        <v>141</v>
      </c>
      <c r="B8" s="4">
        <f>BalSheet!C34</f>
        <v>510000</v>
      </c>
      <c r="C8" s="4">
        <f>BalSheet!D34</f>
        <v>520000</v>
      </c>
      <c r="D8" s="4">
        <f>BalSheet!E34</f>
        <v>580000</v>
      </c>
      <c r="E8" s="4">
        <f>BalSheet!F34</f>
        <v>590000</v>
      </c>
      <c r="F8" s="4">
        <f>BalSheet!G34</f>
        <v>600000</v>
      </c>
      <c r="G8" s="4">
        <f>BalSheet!H34</f>
        <v>610000</v>
      </c>
      <c r="H8" s="13"/>
      <c r="I8" s="13"/>
      <c r="J8" s="13"/>
      <c r="K8" s="13"/>
      <c r="L8" s="13"/>
      <c r="M8" s="13"/>
      <c r="N8" s="13"/>
    </row>
    <row r="9" spans="1:14" x14ac:dyDescent="0.25">
      <c r="A9" s="27" t="s">
        <v>169</v>
      </c>
      <c r="B9" s="4">
        <f>BalSheet!C37</f>
        <v>0</v>
      </c>
      <c r="C9" s="4">
        <f>BalSheet!D37</f>
        <v>0</v>
      </c>
      <c r="D9" s="4">
        <f>BalSheet!E37</f>
        <v>1000000</v>
      </c>
      <c r="E9" s="4">
        <f>BalSheet!F37</f>
        <v>0</v>
      </c>
      <c r="F9" s="4">
        <f>BalSheet!G37</f>
        <v>0</v>
      </c>
      <c r="G9" s="4">
        <f>BalSheet!H37</f>
        <v>0</v>
      </c>
      <c r="H9" s="13"/>
      <c r="I9" s="13"/>
      <c r="J9" s="13"/>
      <c r="K9" s="13"/>
      <c r="L9" s="13"/>
      <c r="M9" s="13"/>
      <c r="N9" s="13"/>
    </row>
    <row r="10" spans="1:14" x14ac:dyDescent="0.25">
      <c r="A10" s="27" t="s">
        <v>173</v>
      </c>
      <c r="B10" s="4">
        <f>-BalSheet!C38</f>
        <v>-400000</v>
      </c>
      <c r="C10" s="4">
        <f>-BalSheet!D38</f>
        <v>-300000</v>
      </c>
      <c r="D10" s="4">
        <f>-BalSheet!E38</f>
        <v>-300000</v>
      </c>
      <c r="E10" s="4">
        <f>-BalSheet!F38</f>
        <v>-400000</v>
      </c>
      <c r="F10" s="4">
        <f>-BalSheet!G38</f>
        <v>-600000</v>
      </c>
      <c r="G10" s="4">
        <f>-BalSheet!H38</f>
        <v>-600000</v>
      </c>
      <c r="H10" s="13"/>
      <c r="I10" s="13"/>
      <c r="J10" s="13"/>
      <c r="K10" s="13"/>
      <c r="L10" s="13"/>
      <c r="M10" s="13"/>
      <c r="N10" s="13"/>
    </row>
    <row r="11" spans="1:14" x14ac:dyDescent="0.25">
      <c r="A11" s="27" t="s">
        <v>178</v>
      </c>
      <c r="B11" s="4">
        <f>-BalSheet!C33</f>
        <v>-200000</v>
      </c>
      <c r="C11" s="4">
        <f>-BalSheet!D33</f>
        <v>-200000</v>
      </c>
      <c r="D11" s="4">
        <f>-BalSheet!E33</f>
        <v>-1200000</v>
      </c>
      <c r="E11" s="4">
        <f>-BalSheet!F33</f>
        <v>-200000</v>
      </c>
      <c r="F11" s="4">
        <f>-BalSheet!G33</f>
        <v>-200000</v>
      </c>
      <c r="G11" s="4">
        <f>-BalSheet!H33</f>
        <v>-200000</v>
      </c>
      <c r="H11" s="13"/>
      <c r="I11" s="13"/>
      <c r="J11" s="13"/>
      <c r="K11" s="13"/>
      <c r="L11" s="13"/>
      <c r="M11" s="13"/>
      <c r="N11" s="13"/>
    </row>
    <row r="12" spans="1:14" x14ac:dyDescent="0.25">
      <c r="A12" s="27" t="s">
        <v>197</v>
      </c>
      <c r="B12" s="4">
        <f>-BalSheet!C9+BalSheet!B9</f>
        <v>0</v>
      </c>
      <c r="C12" s="4">
        <f>-BalSheet!D9+BalSheet!C9</f>
        <v>0</v>
      </c>
      <c r="D12" s="4">
        <f>-BalSheet!E9+BalSheet!D9</f>
        <v>0</v>
      </c>
      <c r="E12" s="4">
        <f>-BalSheet!F9+BalSheet!E9</f>
        <v>0</v>
      </c>
      <c r="F12" s="4">
        <f>-BalSheet!G9+BalSheet!F9</f>
        <v>0</v>
      </c>
      <c r="G12" s="4">
        <f>-BalSheet!H9+BalSheet!G9</f>
        <v>0</v>
      </c>
      <c r="H12" s="13"/>
      <c r="I12" s="13"/>
      <c r="J12" s="13"/>
      <c r="K12" s="13"/>
      <c r="L12" s="13"/>
      <c r="M12" s="13"/>
      <c r="N12" s="13"/>
    </row>
    <row r="13" spans="1:14" x14ac:dyDescent="0.25">
      <c r="A13" s="27" t="s">
        <v>167</v>
      </c>
      <c r="B13" s="4">
        <f>SUM(B3:B11)</f>
        <v>4483926.2582771601</v>
      </c>
      <c r="C13" s="4">
        <f>SUM(C3:C11)</f>
        <v>6773673.1635436425</v>
      </c>
      <c r="D13" s="4">
        <f t="shared" ref="D13:G13" si="2">SUM(D3:D11)</f>
        <v>6168348.2955852076</v>
      </c>
      <c r="E13" s="4">
        <f t="shared" si="2"/>
        <v>2148543.2128012916</v>
      </c>
      <c r="F13" s="4">
        <f t="shared" si="2"/>
        <v>-4512515.4761375189</v>
      </c>
      <c r="G13" s="4">
        <f t="shared" si="2"/>
        <v>-15109511.794917252</v>
      </c>
      <c r="H13" s="13"/>
      <c r="I13" s="13"/>
      <c r="J13" s="13"/>
      <c r="K13" s="13"/>
      <c r="L13" s="13"/>
      <c r="M13" s="13"/>
      <c r="N13" s="13"/>
    </row>
    <row r="14" spans="1:14" x14ac:dyDescent="0.25">
      <c r="A14" s="13"/>
      <c r="B14" s="62"/>
      <c r="C14" s="62"/>
      <c r="D14" s="62"/>
      <c r="E14" s="62"/>
      <c r="F14" s="62"/>
      <c r="G14" s="62"/>
      <c r="H14" s="13"/>
      <c r="I14" s="13"/>
      <c r="J14" s="13"/>
      <c r="K14" s="13"/>
      <c r="L14" s="13"/>
      <c r="M14" s="13"/>
      <c r="N14" s="13"/>
    </row>
    <row r="15" spans="1:14" x14ac:dyDescent="0.25">
      <c r="A15" s="10" t="s">
        <v>144</v>
      </c>
      <c r="B15" s="31">
        <v>0.03</v>
      </c>
      <c r="C15" s="24"/>
      <c r="D15" s="24"/>
      <c r="E15" s="24"/>
      <c r="F15" s="24"/>
      <c r="G15" s="24"/>
      <c r="H15" s="13"/>
      <c r="I15" s="13"/>
      <c r="J15" s="13"/>
      <c r="K15" s="13"/>
      <c r="L15" s="13"/>
      <c r="M15" s="13"/>
      <c r="N15" s="13"/>
    </row>
    <row r="16" spans="1:14" x14ac:dyDescent="0.25">
      <c r="A16" s="10" t="s">
        <v>145</v>
      </c>
      <c r="B16" s="31">
        <v>0.12</v>
      </c>
      <c r="C16" s="24"/>
      <c r="D16" s="24"/>
      <c r="E16" s="24"/>
      <c r="F16" s="24"/>
      <c r="G16" s="24"/>
      <c r="H16" s="13"/>
      <c r="I16" s="13"/>
      <c r="J16" s="13"/>
      <c r="K16" s="13"/>
      <c r="L16" s="13"/>
      <c r="M16" s="13"/>
      <c r="N16" s="13"/>
    </row>
    <row r="17" spans="1:14" x14ac:dyDescent="0.25">
      <c r="A17" s="10" t="s">
        <v>146</v>
      </c>
      <c r="B17" s="4">
        <f>(B3+B13)/2</f>
        <v>2491963.1291385801</v>
      </c>
      <c r="C17" s="4">
        <f>(C3+C13)/2</f>
        <v>5628799.7109104013</v>
      </c>
      <c r="D17" s="4">
        <f t="shared" ref="D17:G17" si="3">(D3+D13)/2</f>
        <v>6471010.7295644246</v>
      </c>
      <c r="E17" s="4">
        <f t="shared" si="3"/>
        <v>4158445.7541932496</v>
      </c>
      <c r="F17" s="4">
        <f t="shared" si="3"/>
        <v>-1181986.1316681136</v>
      </c>
      <c r="G17" s="4">
        <f t="shared" si="3"/>
        <v>-9811013.6355273854</v>
      </c>
      <c r="H17" s="13"/>
      <c r="I17" s="13"/>
      <c r="J17" s="13"/>
      <c r="K17" s="13"/>
      <c r="L17" s="13"/>
      <c r="M17" s="13"/>
      <c r="N17" s="13"/>
    </row>
    <row r="18" spans="1:14" x14ac:dyDescent="0.25">
      <c r="A18" s="10" t="s">
        <v>137</v>
      </c>
      <c r="B18" s="137">
        <f>B2+1</f>
        <v>2022</v>
      </c>
      <c r="C18" s="137">
        <f>C2+1</f>
        <v>2023</v>
      </c>
      <c r="D18" s="137">
        <f t="shared" ref="D18:G18" si="4">D2+1</f>
        <v>2024</v>
      </c>
      <c r="E18" s="137">
        <f t="shared" si="4"/>
        <v>2025</v>
      </c>
      <c r="F18" s="137">
        <f t="shared" si="4"/>
        <v>2026</v>
      </c>
      <c r="G18" s="137">
        <f t="shared" si="4"/>
        <v>2027</v>
      </c>
      <c r="H18" s="13"/>
      <c r="I18" s="13"/>
      <c r="J18" s="13"/>
      <c r="K18" s="13"/>
      <c r="L18" s="13"/>
      <c r="M18" s="13"/>
      <c r="N18" s="13"/>
    </row>
    <row r="19" spans="1:14" x14ac:dyDescent="0.25">
      <c r="A19" s="10" t="s">
        <v>147</v>
      </c>
      <c r="B19" s="4">
        <f>IF(B17&lt;0,0,$B$15*B17)</f>
        <v>74758.893874157395</v>
      </c>
      <c r="C19" s="4">
        <f>IF(C17&lt;0,0,$B$15*C17)</f>
        <v>168863.99132731205</v>
      </c>
      <c r="D19" s="4">
        <f t="shared" ref="D19:G19" si="5">IF(D17&lt;0,0,$B$15*D17)</f>
        <v>194130.32188693274</v>
      </c>
      <c r="E19" s="4">
        <f t="shared" si="5"/>
        <v>124753.37262579748</v>
      </c>
      <c r="F19" s="4">
        <f t="shared" si="5"/>
        <v>0</v>
      </c>
      <c r="G19" s="4">
        <f t="shared" si="5"/>
        <v>0</v>
      </c>
      <c r="H19" s="13"/>
      <c r="I19" s="13"/>
      <c r="J19" s="13"/>
      <c r="K19" s="13"/>
      <c r="L19" s="13"/>
      <c r="M19" s="13"/>
      <c r="N19" s="13"/>
    </row>
    <row r="20" spans="1:14" x14ac:dyDescent="0.25">
      <c r="A20" s="10" t="s">
        <v>195</v>
      </c>
      <c r="B20" s="2">
        <v>75000</v>
      </c>
      <c r="C20" s="2">
        <v>150000</v>
      </c>
      <c r="D20" s="2">
        <v>200000</v>
      </c>
      <c r="E20" s="2">
        <v>120000</v>
      </c>
      <c r="F20" s="2">
        <v>0</v>
      </c>
      <c r="G20" s="2">
        <v>0</v>
      </c>
      <c r="H20" s="13"/>
      <c r="I20" s="13"/>
      <c r="J20" s="13"/>
      <c r="K20" s="13"/>
      <c r="L20" s="13"/>
      <c r="M20" s="13"/>
      <c r="N20" s="13"/>
    </row>
    <row r="21" spans="1:14" x14ac:dyDescent="0.25">
      <c r="A21" s="10" t="s">
        <v>148</v>
      </c>
      <c r="B21" s="4">
        <f>-IF(B17&gt;0,0,$B$16*B17)</f>
        <v>0</v>
      </c>
      <c r="C21" s="4">
        <f>-IF(C17&gt;0,0,$B$16*C17)</f>
        <v>0</v>
      </c>
      <c r="D21" s="4">
        <f t="shared" ref="D21:G21" si="6">-IF(D17&gt;0,0,$B$16*D17)</f>
        <v>0</v>
      </c>
      <c r="E21" s="4">
        <f t="shared" si="6"/>
        <v>0</v>
      </c>
      <c r="F21" s="4">
        <f t="shared" si="6"/>
        <v>141838.33580017363</v>
      </c>
      <c r="G21" s="4">
        <f t="shared" si="6"/>
        <v>1177321.6362632862</v>
      </c>
      <c r="H21" s="13"/>
      <c r="I21" s="13"/>
      <c r="J21" s="13"/>
      <c r="K21" s="13"/>
      <c r="L21" s="13"/>
      <c r="M21" s="13"/>
      <c r="N21" s="13"/>
    </row>
    <row r="22" spans="1:14" x14ac:dyDescent="0.25">
      <c r="A22" s="10" t="s">
        <v>196</v>
      </c>
      <c r="B22" s="2">
        <v>0</v>
      </c>
      <c r="C22" s="2">
        <v>0</v>
      </c>
      <c r="D22" s="2">
        <v>0</v>
      </c>
      <c r="E22" s="2">
        <v>0</v>
      </c>
      <c r="F22" s="2">
        <v>100000</v>
      </c>
      <c r="G22" s="2">
        <v>1100000</v>
      </c>
      <c r="H22" s="13"/>
      <c r="I22" s="13"/>
      <c r="J22" s="13"/>
      <c r="K22" s="13"/>
      <c r="L22" s="13"/>
      <c r="M22" s="13"/>
      <c r="N22" s="13"/>
    </row>
    <row r="23" spans="1:14" x14ac:dyDescent="0.25">
      <c r="A23" s="13"/>
      <c r="B23" s="62"/>
      <c r="C23" s="62"/>
      <c r="D23" s="62"/>
      <c r="E23" s="62"/>
      <c r="F23" s="62"/>
      <c r="G23" s="62"/>
      <c r="H23" s="13"/>
      <c r="I23" s="13"/>
      <c r="J23" s="13"/>
      <c r="K23" s="13"/>
      <c r="L23" s="13"/>
      <c r="M23" s="13"/>
      <c r="N23" s="13"/>
    </row>
    <row r="24" spans="1:14" x14ac:dyDescent="0.25">
      <c r="A24" s="13"/>
      <c r="B24" s="62"/>
      <c r="C24" s="62"/>
      <c r="D24" s="62"/>
      <c r="E24" s="62"/>
      <c r="F24" s="62"/>
      <c r="G24" s="62"/>
      <c r="H24" s="13"/>
      <c r="I24" s="13"/>
      <c r="J24" s="13"/>
      <c r="K24" s="13"/>
      <c r="L24" s="13"/>
      <c r="M24" s="13"/>
      <c r="N24" s="13"/>
    </row>
    <row r="25" spans="1:14" x14ac:dyDescent="0.25">
      <c r="A25" s="13"/>
      <c r="B25" s="62"/>
      <c r="C25" s="62"/>
      <c r="D25" s="62"/>
      <c r="E25" s="62"/>
      <c r="F25" s="62"/>
      <c r="G25" s="62"/>
      <c r="H25" s="13"/>
      <c r="I25" s="13"/>
      <c r="J25" s="13"/>
      <c r="K25" s="13"/>
      <c r="L25" s="13"/>
      <c r="M25" s="13"/>
      <c r="N25" s="13"/>
    </row>
    <row r="26" spans="1:14" x14ac:dyDescent="0.25">
      <c r="A26" s="13"/>
      <c r="B26" s="62"/>
      <c r="C26" s="62"/>
      <c r="D26" s="62"/>
      <c r="E26" s="62"/>
      <c r="F26" s="62"/>
      <c r="G26" s="62"/>
      <c r="H26" s="13"/>
      <c r="I26" s="13"/>
      <c r="J26" s="13"/>
      <c r="K26" s="13"/>
      <c r="L26" s="13"/>
      <c r="M26" s="13"/>
      <c r="N26" s="13"/>
    </row>
    <row r="27" spans="1:14" x14ac:dyDescent="0.25">
      <c r="A27" s="13"/>
      <c r="B27" s="62"/>
      <c r="C27" s="62"/>
      <c r="D27" s="62"/>
      <c r="E27" s="62"/>
      <c r="F27" s="62"/>
      <c r="G27" s="62"/>
      <c r="H27" s="13"/>
      <c r="I27" s="13"/>
      <c r="J27" s="13"/>
      <c r="K27" s="13"/>
      <c r="L27" s="13"/>
      <c r="M27" s="13"/>
      <c r="N27" s="13"/>
    </row>
    <row r="28" spans="1:14" x14ac:dyDescent="0.25">
      <c r="A28" s="13"/>
      <c r="B28" s="62"/>
      <c r="C28" s="62"/>
      <c r="D28" s="62"/>
      <c r="E28" s="62"/>
      <c r="F28" s="62"/>
      <c r="G28" s="62"/>
      <c r="H28" s="13"/>
      <c r="I28" s="13"/>
      <c r="J28" s="13"/>
      <c r="K28" s="13"/>
      <c r="L28" s="13"/>
      <c r="M28" s="13"/>
      <c r="N28" s="13"/>
    </row>
    <row r="29" spans="1:14" x14ac:dyDescent="0.25">
      <c r="A29" s="13"/>
      <c r="B29" s="62"/>
      <c r="C29" s="62"/>
      <c r="D29" s="62"/>
      <c r="E29" s="62"/>
      <c r="F29" s="62"/>
      <c r="G29" s="62"/>
      <c r="H29" s="13"/>
      <c r="I29" s="13"/>
      <c r="J29" s="13"/>
      <c r="K29" s="13"/>
      <c r="L29" s="13"/>
      <c r="M29" s="13"/>
      <c r="N29" s="13"/>
    </row>
    <row r="30" spans="1:14" x14ac:dyDescent="0.25">
      <c r="A30" s="13"/>
      <c r="B30" s="62"/>
      <c r="C30" s="62"/>
      <c r="D30" s="62"/>
      <c r="E30" s="62"/>
      <c r="F30" s="62"/>
      <c r="G30" s="62"/>
      <c r="H30" s="13"/>
      <c r="I30" s="13"/>
      <c r="J30" s="13"/>
      <c r="K30" s="13"/>
      <c r="L30" s="13"/>
      <c r="M30" s="13"/>
      <c r="N30" s="13"/>
    </row>
    <row r="31" spans="1:14" x14ac:dyDescent="0.25">
      <c r="A31" s="13"/>
      <c r="B31" s="62"/>
      <c r="C31" s="62"/>
      <c r="D31" s="62"/>
      <c r="E31" s="62"/>
      <c r="F31" s="62"/>
      <c r="G31" s="62"/>
      <c r="H31" s="13"/>
      <c r="I31" s="13"/>
      <c r="J31" s="13"/>
      <c r="K31" s="13"/>
      <c r="L31" s="13"/>
      <c r="M31" s="13"/>
      <c r="N31" s="13"/>
    </row>
    <row r="32" spans="1:14" x14ac:dyDescent="0.25">
      <c r="A32" s="13"/>
      <c r="B32" s="62"/>
      <c r="C32" s="62"/>
      <c r="D32" s="62"/>
      <c r="E32" s="62"/>
      <c r="F32" s="62"/>
      <c r="G32" s="62"/>
      <c r="H32" s="13"/>
      <c r="I32" s="13"/>
      <c r="J32" s="13"/>
      <c r="K32" s="13"/>
      <c r="L32" s="13"/>
      <c r="M32" s="13"/>
      <c r="N32" s="13"/>
    </row>
    <row r="33" spans="1:14" x14ac:dyDescent="0.25">
      <c r="A33" s="13"/>
      <c r="B33" s="62"/>
      <c r="C33" s="62"/>
      <c r="D33" s="62"/>
      <c r="E33" s="62"/>
      <c r="F33" s="62"/>
      <c r="G33" s="62"/>
      <c r="H33" s="13"/>
      <c r="I33" s="13"/>
      <c r="J33" s="13"/>
      <c r="K33" s="13"/>
      <c r="L33" s="13"/>
      <c r="M33" s="13"/>
      <c r="N33" s="13"/>
    </row>
    <row r="34" spans="1:14" x14ac:dyDescent="0.25">
      <c r="A34" s="13"/>
      <c r="B34" s="62"/>
      <c r="C34" s="62"/>
      <c r="D34" s="62"/>
      <c r="E34" s="62"/>
      <c r="F34" s="62"/>
      <c r="G34" s="62"/>
      <c r="H34" s="13"/>
      <c r="I34" s="13"/>
      <c r="J34" s="13"/>
      <c r="K34" s="13"/>
      <c r="L34" s="13"/>
      <c r="M34" s="13"/>
      <c r="N34" s="13"/>
    </row>
    <row r="35" spans="1:14" x14ac:dyDescent="0.25">
      <c r="A35" s="13"/>
      <c r="B35" s="62"/>
      <c r="C35" s="62"/>
      <c r="D35" s="62"/>
      <c r="E35" s="62"/>
      <c r="F35" s="62"/>
      <c r="G35" s="62"/>
      <c r="H35" s="13"/>
      <c r="I35" s="13"/>
      <c r="J35" s="13"/>
      <c r="K35" s="13"/>
      <c r="L35" s="13"/>
      <c r="M35" s="13"/>
      <c r="N35" s="13"/>
    </row>
    <row r="36" spans="1:14" x14ac:dyDescent="0.25">
      <c r="A36" s="13"/>
      <c r="B36" s="62"/>
      <c r="C36" s="62"/>
      <c r="D36" s="62"/>
      <c r="E36" s="62"/>
      <c r="F36" s="62"/>
      <c r="G36" s="62"/>
      <c r="H36" s="13"/>
      <c r="I36" s="13"/>
      <c r="J36" s="13"/>
      <c r="K36" s="13"/>
      <c r="L36" s="13"/>
      <c r="M36" s="13"/>
      <c r="N36" s="13"/>
    </row>
    <row r="37" spans="1:14" x14ac:dyDescent="0.25">
      <c r="A37" s="13"/>
      <c r="B37" s="62"/>
      <c r="C37" s="62"/>
      <c r="D37" s="62"/>
      <c r="E37" s="62"/>
      <c r="F37" s="62"/>
      <c r="G37" s="62"/>
      <c r="H37" s="13"/>
      <c r="I37" s="13"/>
      <c r="J37" s="13"/>
      <c r="K37" s="13"/>
      <c r="L37" s="13"/>
      <c r="M37" s="13"/>
      <c r="N37" s="13"/>
    </row>
    <row r="38" spans="1:14" x14ac:dyDescent="0.25">
      <c r="A38" s="13"/>
      <c r="B38" s="62"/>
      <c r="C38" s="62"/>
      <c r="D38" s="62"/>
      <c r="E38" s="62"/>
      <c r="F38" s="62"/>
      <c r="G38" s="62"/>
      <c r="H38" s="13"/>
      <c r="I38" s="13"/>
      <c r="J38" s="13"/>
      <c r="K38" s="13"/>
      <c r="L38" s="13"/>
      <c r="M38" s="13"/>
      <c r="N38" s="13"/>
    </row>
    <row r="39" spans="1:14" x14ac:dyDescent="0.25">
      <c r="A39" s="13"/>
      <c r="B39" s="62"/>
      <c r="C39" s="62"/>
      <c r="D39" s="62"/>
      <c r="E39" s="62"/>
      <c r="F39" s="62"/>
      <c r="G39" s="62"/>
      <c r="H39" s="13"/>
      <c r="I39" s="13"/>
      <c r="J39" s="13"/>
      <c r="K39" s="13"/>
      <c r="L39" s="13"/>
      <c r="M39" s="13"/>
      <c r="N39" s="13"/>
    </row>
    <row r="40" spans="1:14" x14ac:dyDescent="0.25">
      <c r="A40" s="13"/>
      <c r="B40" s="62"/>
      <c r="C40" s="62"/>
      <c r="D40" s="62"/>
      <c r="E40" s="62"/>
      <c r="F40" s="62"/>
      <c r="G40" s="62"/>
      <c r="H40" s="13"/>
      <c r="I40" s="13"/>
      <c r="J40" s="13"/>
      <c r="K40" s="13"/>
      <c r="L40" s="13"/>
      <c r="M40" s="13"/>
      <c r="N40" s="13"/>
    </row>
    <row r="41" spans="1:14" x14ac:dyDescent="0.25">
      <c r="A41" s="13"/>
      <c r="B41" s="62"/>
      <c r="C41" s="62"/>
      <c r="D41" s="62"/>
      <c r="E41" s="62"/>
      <c r="F41" s="62"/>
      <c r="G41" s="62"/>
      <c r="H41" s="13"/>
      <c r="I41" s="13"/>
      <c r="J41" s="13"/>
      <c r="K41" s="13"/>
      <c r="L41" s="13"/>
      <c r="M41" s="13"/>
      <c r="N41" s="13"/>
    </row>
    <row r="42" spans="1:14" x14ac:dyDescent="0.25">
      <c r="A42" s="13"/>
      <c r="B42" s="62"/>
      <c r="C42" s="62"/>
      <c r="D42" s="62"/>
      <c r="E42" s="62"/>
      <c r="F42" s="62"/>
      <c r="G42" s="62"/>
      <c r="H42" s="13"/>
      <c r="I42" s="13"/>
      <c r="J42" s="13"/>
      <c r="K42" s="13"/>
      <c r="L42" s="13"/>
      <c r="M42" s="13"/>
      <c r="N42" s="13"/>
    </row>
    <row r="43" spans="1:14" x14ac:dyDescent="0.25">
      <c r="A43" s="13"/>
      <c r="B43" s="62"/>
      <c r="C43" s="62"/>
      <c r="D43" s="62"/>
      <c r="E43" s="62"/>
      <c r="F43" s="62"/>
      <c r="G43" s="62"/>
      <c r="H43" s="13"/>
      <c r="I43" s="13"/>
      <c r="J43" s="13"/>
      <c r="K43" s="13"/>
      <c r="L43" s="13"/>
      <c r="M43" s="13"/>
      <c r="N43" s="13"/>
    </row>
    <row r="44" spans="1:14" x14ac:dyDescent="0.25">
      <c r="A44" s="13"/>
      <c r="B44" s="62"/>
      <c r="C44" s="62"/>
      <c r="D44" s="62"/>
      <c r="E44" s="62"/>
      <c r="F44" s="62"/>
      <c r="G44" s="62"/>
      <c r="H44" s="13"/>
      <c r="I44" s="13"/>
      <c r="J44" s="13"/>
      <c r="K44" s="13"/>
      <c r="L44" s="13"/>
      <c r="M44" s="13"/>
      <c r="N44" s="13"/>
    </row>
    <row r="45" spans="1:14" x14ac:dyDescent="0.25">
      <c r="A45" s="13"/>
      <c r="B45" s="62"/>
      <c r="C45" s="62"/>
      <c r="D45" s="62"/>
      <c r="E45" s="62"/>
      <c r="F45" s="62"/>
      <c r="G45" s="62"/>
      <c r="H45" s="13"/>
      <c r="I45" s="13"/>
      <c r="J45" s="13"/>
      <c r="K45" s="13"/>
      <c r="L45" s="13"/>
      <c r="M45" s="13"/>
      <c r="N45" s="13"/>
    </row>
    <row r="46" spans="1:14" x14ac:dyDescent="0.25">
      <c r="A46" s="13"/>
      <c r="B46" s="62"/>
      <c r="C46" s="62"/>
      <c r="D46" s="62"/>
      <c r="E46" s="62"/>
      <c r="F46" s="62"/>
      <c r="G46" s="62"/>
      <c r="H46" s="13"/>
      <c r="I46" s="13"/>
      <c r="J46" s="13"/>
      <c r="K46" s="13"/>
      <c r="L46" s="13"/>
      <c r="M46" s="13"/>
      <c r="N46" s="13"/>
    </row>
    <row r="47" spans="1:14" x14ac:dyDescent="0.25">
      <c r="A47" s="13"/>
      <c r="B47" s="62"/>
      <c r="C47" s="62"/>
      <c r="D47" s="62"/>
      <c r="E47" s="62"/>
      <c r="F47" s="62"/>
      <c r="G47" s="62"/>
      <c r="H47" s="13"/>
      <c r="I47" s="13"/>
      <c r="J47" s="13"/>
      <c r="K47" s="13"/>
      <c r="L47" s="13"/>
      <c r="M47" s="13"/>
      <c r="N47" s="13"/>
    </row>
    <row r="48" spans="1:14" x14ac:dyDescent="0.25">
      <c r="A48" s="13"/>
      <c r="B48" s="62"/>
      <c r="C48" s="62"/>
      <c r="D48" s="62"/>
      <c r="E48" s="62"/>
      <c r="F48" s="62"/>
      <c r="G48" s="62"/>
      <c r="H48" s="13"/>
      <c r="I48" s="13"/>
      <c r="J48" s="13"/>
      <c r="K48" s="13"/>
      <c r="L48" s="13"/>
      <c r="M48" s="13"/>
      <c r="N48" s="13"/>
    </row>
    <row r="49" spans="1:14" x14ac:dyDescent="0.25">
      <c r="A49" s="13"/>
      <c r="B49" s="62"/>
      <c r="C49" s="62"/>
      <c r="D49" s="62"/>
      <c r="E49" s="62"/>
      <c r="F49" s="62"/>
      <c r="G49" s="62"/>
      <c r="H49" s="13"/>
      <c r="I49" s="13"/>
      <c r="J49" s="13"/>
      <c r="K49" s="13"/>
      <c r="L49" s="13"/>
      <c r="M49" s="13"/>
      <c r="N49" s="13"/>
    </row>
    <row r="50" spans="1:14" x14ac:dyDescent="0.25">
      <c r="A50" s="13"/>
      <c r="B50" s="62"/>
      <c r="C50" s="62"/>
      <c r="D50" s="62"/>
      <c r="E50" s="62"/>
      <c r="F50" s="62"/>
      <c r="G50" s="62"/>
      <c r="H50" s="13"/>
      <c r="I50" s="13"/>
      <c r="J50" s="13"/>
      <c r="K50" s="13"/>
      <c r="L50" s="13"/>
      <c r="M50" s="13"/>
      <c r="N50" s="13"/>
    </row>
    <row r="51" spans="1:14" x14ac:dyDescent="0.25">
      <c r="A51" s="13"/>
      <c r="B51" s="62"/>
      <c r="C51" s="62"/>
      <c r="D51" s="62"/>
      <c r="E51" s="62"/>
      <c r="F51" s="62"/>
      <c r="G51" s="62"/>
      <c r="H51" s="13"/>
      <c r="I51" s="13"/>
      <c r="J51" s="13"/>
      <c r="K51" s="13"/>
      <c r="L51" s="13"/>
      <c r="M51" s="13"/>
      <c r="N51" s="13"/>
    </row>
    <row r="52" spans="1:14" x14ac:dyDescent="0.25">
      <c r="A52" s="13"/>
      <c r="B52" s="62"/>
      <c r="C52" s="62"/>
      <c r="D52" s="62"/>
      <c r="E52" s="62"/>
      <c r="F52" s="62"/>
      <c r="G52" s="62"/>
      <c r="H52" s="13"/>
      <c r="I52" s="13"/>
      <c r="J52" s="13"/>
      <c r="K52" s="13"/>
      <c r="L52" s="13"/>
      <c r="M52" s="13"/>
      <c r="N52" s="13"/>
    </row>
    <row r="53" spans="1:14" x14ac:dyDescent="0.25">
      <c r="A53" s="13"/>
      <c r="B53" s="62"/>
      <c r="C53" s="62"/>
      <c r="D53" s="62"/>
      <c r="E53" s="62"/>
      <c r="F53" s="62"/>
      <c r="G53" s="62"/>
      <c r="H53" s="13"/>
      <c r="I53" s="13"/>
      <c r="J53" s="13"/>
      <c r="K53" s="13"/>
      <c r="L53" s="13"/>
      <c r="M53" s="13"/>
      <c r="N53" s="13"/>
    </row>
    <row r="54" spans="1:14" x14ac:dyDescent="0.25">
      <c r="A54" s="13"/>
      <c r="B54" s="62"/>
      <c r="C54" s="62"/>
      <c r="D54" s="62"/>
      <c r="E54" s="62"/>
      <c r="F54" s="62"/>
      <c r="G54" s="62"/>
      <c r="H54" s="13"/>
      <c r="I54" s="13"/>
      <c r="J54" s="13"/>
      <c r="K54" s="13"/>
      <c r="L54" s="13"/>
      <c r="M54" s="13"/>
      <c r="N54" s="13"/>
    </row>
    <row r="55" spans="1:14" x14ac:dyDescent="0.25">
      <c r="A55" s="13"/>
      <c r="B55" s="62"/>
      <c r="C55" s="62"/>
      <c r="D55" s="62"/>
      <c r="E55" s="62"/>
      <c r="F55" s="62"/>
      <c r="G55" s="62"/>
      <c r="H55" s="13"/>
      <c r="I55" s="13"/>
      <c r="J55" s="13"/>
      <c r="K55" s="13"/>
      <c r="L55" s="13"/>
      <c r="M55" s="13"/>
      <c r="N55" s="13"/>
    </row>
    <row r="56" spans="1:14" x14ac:dyDescent="0.25">
      <c r="A56" s="13"/>
      <c r="B56" s="62"/>
      <c r="C56" s="62"/>
      <c r="D56" s="62"/>
      <c r="E56" s="62"/>
      <c r="F56" s="62"/>
      <c r="G56" s="62"/>
      <c r="H56" s="13"/>
      <c r="I56" s="13"/>
      <c r="J56" s="13"/>
      <c r="K56" s="13"/>
      <c r="L56" s="13"/>
      <c r="M56" s="13"/>
      <c r="N56" s="13"/>
    </row>
    <row r="57" spans="1:14" x14ac:dyDescent="0.25">
      <c r="A57" s="13"/>
      <c r="B57" s="62"/>
      <c r="C57" s="62"/>
      <c r="D57" s="62"/>
      <c r="E57" s="62"/>
      <c r="F57" s="62"/>
      <c r="G57" s="62"/>
      <c r="H57" s="13"/>
      <c r="I57" s="13"/>
      <c r="J57" s="13"/>
      <c r="K57" s="13"/>
      <c r="L57" s="13"/>
      <c r="M57" s="13"/>
      <c r="N57" s="13"/>
    </row>
    <row r="58" spans="1:14" x14ac:dyDescent="0.25">
      <c r="A58" s="13"/>
      <c r="B58" s="62"/>
      <c r="C58" s="62"/>
      <c r="D58" s="62"/>
      <c r="E58" s="62"/>
      <c r="F58" s="62"/>
      <c r="G58" s="62"/>
      <c r="H58" s="13"/>
      <c r="I58" s="13"/>
      <c r="J58" s="13"/>
      <c r="K58" s="13"/>
      <c r="L58" s="13"/>
      <c r="M58" s="13"/>
      <c r="N58" s="13"/>
    </row>
    <row r="59" spans="1:14" x14ac:dyDescent="0.25">
      <c r="A59" s="13"/>
      <c r="B59" s="62"/>
      <c r="C59" s="62"/>
      <c r="D59" s="62"/>
      <c r="E59" s="62"/>
      <c r="F59" s="62"/>
      <c r="G59" s="62"/>
      <c r="H59" s="13"/>
      <c r="I59" s="13"/>
      <c r="J59" s="13"/>
      <c r="K59" s="13"/>
      <c r="L59" s="13"/>
      <c r="M59" s="13"/>
      <c r="N59" s="13"/>
    </row>
    <row r="60" spans="1:14" x14ac:dyDescent="0.25">
      <c r="A60" s="13"/>
      <c r="B60" s="62"/>
      <c r="C60" s="62"/>
      <c r="D60" s="62"/>
      <c r="E60" s="62"/>
      <c r="F60" s="62"/>
      <c r="G60" s="62"/>
      <c r="H60" s="13"/>
      <c r="I60" s="13"/>
      <c r="J60" s="13"/>
      <c r="K60" s="13"/>
      <c r="L60" s="13"/>
      <c r="M60" s="13"/>
      <c r="N60" s="13"/>
    </row>
    <row r="61" spans="1:14" x14ac:dyDescent="0.25">
      <c r="A61" s="13"/>
      <c r="B61" s="62"/>
      <c r="C61" s="62"/>
      <c r="D61" s="62"/>
      <c r="E61" s="62"/>
      <c r="F61" s="62"/>
      <c r="G61" s="62"/>
      <c r="H61" s="13"/>
      <c r="I61" s="13"/>
      <c r="J61" s="13"/>
      <c r="K61" s="13"/>
      <c r="L61" s="13"/>
      <c r="M61" s="13"/>
      <c r="N61" s="13"/>
    </row>
    <row r="62" spans="1:14" x14ac:dyDescent="0.25">
      <c r="A62" s="13"/>
      <c r="B62" s="62"/>
      <c r="C62" s="62"/>
      <c r="D62" s="62"/>
      <c r="E62" s="62"/>
      <c r="F62" s="62"/>
      <c r="G62" s="62"/>
      <c r="H62" s="13"/>
      <c r="I62" s="13"/>
      <c r="J62" s="13"/>
      <c r="K62" s="13"/>
      <c r="L62" s="13"/>
      <c r="M62" s="13"/>
      <c r="N62" s="13"/>
    </row>
    <row r="63" spans="1:14" x14ac:dyDescent="0.25">
      <c r="A63" s="13"/>
      <c r="B63" s="62"/>
      <c r="C63" s="62"/>
      <c r="D63" s="62"/>
      <c r="E63" s="62"/>
      <c r="F63" s="62"/>
      <c r="G63" s="62"/>
      <c r="H63" s="13"/>
      <c r="I63" s="13"/>
      <c r="J63" s="13"/>
      <c r="K63" s="13"/>
      <c r="L63" s="13"/>
      <c r="M63" s="13"/>
      <c r="N63" s="13"/>
    </row>
    <row r="64" spans="1:14" x14ac:dyDescent="0.25">
      <c r="A64" s="13"/>
      <c r="B64" s="62"/>
      <c r="C64" s="62"/>
      <c r="D64" s="62"/>
      <c r="E64" s="62"/>
      <c r="F64" s="62"/>
      <c r="G64" s="62"/>
      <c r="H64" s="13"/>
      <c r="I64" s="13"/>
      <c r="J64" s="13"/>
      <c r="K64" s="13"/>
      <c r="L64" s="13"/>
      <c r="M64" s="13"/>
      <c r="N64" s="13"/>
    </row>
    <row r="65" spans="1:14" x14ac:dyDescent="0.25">
      <c r="A65" s="13"/>
      <c r="B65" s="62"/>
      <c r="C65" s="62"/>
      <c r="D65" s="62"/>
      <c r="E65" s="62"/>
      <c r="F65" s="62"/>
      <c r="G65" s="62"/>
      <c r="H65" s="13"/>
      <c r="I65" s="13"/>
      <c r="J65" s="13"/>
      <c r="K65" s="13"/>
      <c r="L65" s="13"/>
      <c r="M65" s="13"/>
      <c r="N65" s="13"/>
    </row>
    <row r="66" spans="1:14" x14ac:dyDescent="0.25">
      <c r="A66" s="13"/>
      <c r="B66" s="62"/>
      <c r="C66" s="62"/>
      <c r="D66" s="62"/>
      <c r="E66" s="62"/>
      <c r="F66" s="62"/>
      <c r="G66" s="62"/>
      <c r="H66" s="13"/>
      <c r="I66" s="13"/>
      <c r="J66" s="13"/>
      <c r="K66" s="13"/>
      <c r="L66" s="13"/>
      <c r="M66" s="13"/>
      <c r="N66" s="13"/>
    </row>
    <row r="67" spans="1:14" x14ac:dyDescent="0.25">
      <c r="A67" s="13"/>
      <c r="B67" s="62"/>
      <c r="C67" s="62"/>
      <c r="D67" s="62"/>
      <c r="E67" s="62"/>
      <c r="F67" s="62"/>
      <c r="G67" s="62"/>
      <c r="H67" s="13"/>
      <c r="I67" s="13"/>
      <c r="J67" s="13"/>
      <c r="K67" s="13"/>
      <c r="L67" s="13"/>
      <c r="M67" s="13"/>
      <c r="N67" s="13"/>
    </row>
    <row r="68" spans="1:14" x14ac:dyDescent="0.25">
      <c r="A68" s="13"/>
      <c r="B68" s="62"/>
      <c r="C68" s="62"/>
      <c r="D68" s="62"/>
      <c r="E68" s="62"/>
      <c r="F68" s="62"/>
      <c r="G68" s="62"/>
      <c r="H68" s="13"/>
      <c r="I68" s="13"/>
      <c r="J68" s="13"/>
      <c r="K68" s="13"/>
      <c r="L68" s="13"/>
      <c r="M68" s="13"/>
      <c r="N68" s="13"/>
    </row>
    <row r="69" spans="1:14" x14ac:dyDescent="0.25">
      <c r="A69" s="13"/>
      <c r="B69" s="62"/>
      <c r="C69" s="62"/>
      <c r="D69" s="62"/>
      <c r="E69" s="62"/>
      <c r="F69" s="62"/>
      <c r="G69" s="62"/>
      <c r="H69" s="13"/>
      <c r="I69" s="13"/>
      <c r="J69" s="13"/>
      <c r="K69" s="13"/>
      <c r="L69" s="13"/>
      <c r="M69" s="13"/>
      <c r="N69" s="13"/>
    </row>
    <row r="70" spans="1:14" x14ac:dyDescent="0.25">
      <c r="A70" s="13"/>
      <c r="B70" s="62"/>
      <c r="C70" s="62"/>
      <c r="D70" s="62"/>
      <c r="E70" s="62"/>
      <c r="F70" s="62"/>
      <c r="G70" s="62"/>
      <c r="H70" s="13"/>
      <c r="I70" s="13"/>
      <c r="J70" s="13"/>
      <c r="K70" s="13"/>
      <c r="L70" s="13"/>
      <c r="M70" s="13"/>
      <c r="N70" s="13"/>
    </row>
    <row r="71" spans="1:14" x14ac:dyDescent="0.25">
      <c r="A71" s="13"/>
      <c r="B71" s="62"/>
      <c r="C71" s="62"/>
      <c r="D71" s="62"/>
      <c r="E71" s="62"/>
      <c r="F71" s="62"/>
      <c r="G71" s="62"/>
      <c r="H71" s="13"/>
      <c r="I71" s="13"/>
      <c r="J71" s="13"/>
      <c r="K71" s="13"/>
      <c r="L71" s="13"/>
      <c r="M71" s="13"/>
      <c r="N71" s="13"/>
    </row>
    <row r="72" spans="1:14" x14ac:dyDescent="0.25">
      <c r="A72" s="13"/>
      <c r="B72" s="62"/>
      <c r="C72" s="62"/>
      <c r="D72" s="62"/>
      <c r="E72" s="62"/>
      <c r="F72" s="62"/>
      <c r="G72" s="62"/>
      <c r="H72" s="13"/>
      <c r="I72" s="13"/>
      <c r="J72" s="13"/>
      <c r="K72" s="13"/>
      <c r="L72" s="13"/>
      <c r="M72" s="13"/>
      <c r="N72" s="13"/>
    </row>
    <row r="73" spans="1:14" x14ac:dyDescent="0.25">
      <c r="A73" s="13"/>
      <c r="B73" s="62"/>
      <c r="C73" s="62"/>
      <c r="D73" s="62"/>
      <c r="E73" s="62"/>
      <c r="F73" s="62"/>
      <c r="G73" s="62"/>
      <c r="H73" s="13"/>
      <c r="I73" s="13"/>
      <c r="J73" s="13"/>
      <c r="K73" s="13"/>
      <c r="L73" s="13"/>
      <c r="M73" s="13"/>
      <c r="N73" s="1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85636-A213-484E-AF9D-BDE9FA890284}">
  <dimension ref="A1:V100"/>
  <sheetViews>
    <sheetView workbookViewId="0"/>
  </sheetViews>
  <sheetFormatPr defaultRowHeight="15" x14ac:dyDescent="0.25"/>
  <cols>
    <col min="1" max="1" width="23.28515625" customWidth="1"/>
    <col min="2" max="7" width="11.7109375" customWidth="1"/>
    <col min="8" max="8" width="12.140625" customWidth="1"/>
    <col min="9" max="9" width="8.85546875" customWidth="1"/>
    <col min="10" max="10" width="11" customWidth="1"/>
    <col min="14" max="14" width="11" customWidth="1"/>
    <col min="15" max="15" width="9.85546875" customWidth="1"/>
  </cols>
  <sheetData>
    <row r="1" spans="1:22" x14ac:dyDescent="0.25">
      <c r="A1" s="73" t="str">
        <f>Summary!A1</f>
        <v>Big Desert College</v>
      </c>
      <c r="B1" s="80"/>
      <c r="C1" s="81"/>
      <c r="D1" s="81"/>
      <c r="E1" s="147" t="s">
        <v>63</v>
      </c>
      <c r="F1" s="81"/>
      <c r="G1" s="81"/>
      <c r="H1" s="82"/>
      <c r="I1" s="81"/>
      <c r="J1" s="81"/>
      <c r="K1" s="81"/>
      <c r="L1" s="147" t="s">
        <v>64</v>
      </c>
      <c r="M1" s="81"/>
      <c r="N1" s="81"/>
      <c r="O1" s="82"/>
      <c r="P1" s="13"/>
      <c r="Q1" s="13"/>
      <c r="R1" s="13"/>
      <c r="S1" s="13"/>
      <c r="T1" s="13"/>
      <c r="U1" s="13"/>
      <c r="V1" s="13"/>
    </row>
    <row r="2" spans="1:22" ht="60" x14ac:dyDescent="0.25">
      <c r="A2" s="13"/>
      <c r="B2" s="42" t="s">
        <v>15</v>
      </c>
      <c r="C2" s="43" t="s">
        <v>17</v>
      </c>
      <c r="D2" s="43" t="s">
        <v>18</v>
      </c>
      <c r="E2" s="43" t="s">
        <v>16</v>
      </c>
      <c r="F2" s="43" t="s">
        <v>19</v>
      </c>
      <c r="G2" s="43" t="s">
        <v>20</v>
      </c>
      <c r="H2" s="44" t="s">
        <v>21</v>
      </c>
      <c r="I2" s="21" t="s">
        <v>15</v>
      </c>
      <c r="J2" s="43" t="s">
        <v>17</v>
      </c>
      <c r="K2" s="43" t="s">
        <v>18</v>
      </c>
      <c r="L2" s="43" t="s">
        <v>16</v>
      </c>
      <c r="M2" s="43" t="s">
        <v>19</v>
      </c>
      <c r="N2" s="43" t="s">
        <v>20</v>
      </c>
      <c r="O2" s="44" t="s">
        <v>21</v>
      </c>
      <c r="P2" s="21" t="s">
        <v>29</v>
      </c>
      <c r="Q2" s="13"/>
      <c r="R2" s="13"/>
      <c r="S2" s="13"/>
      <c r="T2" s="13"/>
      <c r="U2" s="13"/>
      <c r="V2" s="13"/>
    </row>
    <row r="3" spans="1:22" x14ac:dyDescent="0.25">
      <c r="A3" s="10" t="s">
        <v>6</v>
      </c>
      <c r="B3" s="37">
        <v>120</v>
      </c>
      <c r="C3" s="2">
        <v>90000</v>
      </c>
      <c r="D3" s="153">
        <f>Summary!B24</f>
        <v>0.45</v>
      </c>
      <c r="E3" s="3">
        <v>20</v>
      </c>
      <c r="F3" s="2">
        <v>40000</v>
      </c>
      <c r="G3" s="153">
        <f>Summary!B24</f>
        <v>0.45</v>
      </c>
      <c r="H3" s="38">
        <v>200000</v>
      </c>
      <c r="I3" s="36">
        <v>20</v>
      </c>
      <c r="J3" s="2">
        <v>15000</v>
      </c>
      <c r="K3" s="153">
        <f>Summary!B25</f>
        <v>0.1</v>
      </c>
      <c r="L3" s="3">
        <v>5</v>
      </c>
      <c r="M3" s="2">
        <v>18000</v>
      </c>
      <c r="N3" s="153">
        <f>Summary!B25</f>
        <v>0.1</v>
      </c>
      <c r="O3" s="38">
        <v>100000</v>
      </c>
      <c r="P3" s="1">
        <f>Summary!B23</f>
        <v>0.02</v>
      </c>
      <c r="Q3" s="13"/>
      <c r="R3" s="13"/>
      <c r="S3" s="13"/>
      <c r="T3" s="13"/>
      <c r="U3" s="13"/>
      <c r="V3" s="13"/>
    </row>
    <row r="4" spans="1:22" x14ac:dyDescent="0.25">
      <c r="A4" s="10" t="s">
        <v>7</v>
      </c>
      <c r="B4" s="37">
        <v>5</v>
      </c>
      <c r="C4" s="22">
        <f>C3</f>
        <v>90000</v>
      </c>
      <c r="D4" s="29"/>
      <c r="E4" s="3">
        <v>25</v>
      </c>
      <c r="F4" s="2">
        <v>40000</v>
      </c>
      <c r="G4" s="154">
        <f>G3</f>
        <v>0.45</v>
      </c>
      <c r="H4" s="38">
        <v>200000</v>
      </c>
      <c r="I4" s="36">
        <v>0</v>
      </c>
      <c r="J4" s="22">
        <f>J3</f>
        <v>15000</v>
      </c>
      <c r="K4" s="29"/>
      <c r="L4" s="3">
        <v>10</v>
      </c>
      <c r="M4" s="2">
        <v>18000</v>
      </c>
      <c r="N4" s="154">
        <f>N3</f>
        <v>0.1</v>
      </c>
      <c r="O4" s="38">
        <v>100000</v>
      </c>
      <c r="P4" s="13"/>
      <c r="Q4" s="13"/>
      <c r="R4" s="13"/>
      <c r="S4" s="13"/>
      <c r="T4" s="13"/>
      <c r="U4" s="13"/>
      <c r="V4" s="13"/>
    </row>
    <row r="5" spans="1:22" x14ac:dyDescent="0.25">
      <c r="A5" s="10" t="s">
        <v>8</v>
      </c>
      <c r="B5" s="39"/>
      <c r="C5" s="29"/>
      <c r="D5" s="29"/>
      <c r="E5" s="3">
        <v>30</v>
      </c>
      <c r="F5" s="2">
        <v>40000</v>
      </c>
      <c r="G5" s="154">
        <f>G3</f>
        <v>0.45</v>
      </c>
      <c r="H5" s="38">
        <v>200000</v>
      </c>
      <c r="I5" s="29"/>
      <c r="J5" s="29"/>
      <c r="K5" s="29"/>
      <c r="L5" s="3">
        <v>20</v>
      </c>
      <c r="M5" s="2">
        <v>18000</v>
      </c>
      <c r="N5" s="154">
        <f>N3</f>
        <v>0.1</v>
      </c>
      <c r="O5" s="38">
        <v>100000</v>
      </c>
      <c r="P5" s="13"/>
      <c r="Q5" s="13"/>
      <c r="R5" s="13"/>
      <c r="S5" s="13"/>
      <c r="T5" s="13"/>
      <c r="U5" s="13"/>
      <c r="V5" s="13"/>
    </row>
    <row r="6" spans="1:22" x14ac:dyDescent="0.25">
      <c r="A6" s="10" t="s">
        <v>9</v>
      </c>
      <c r="B6" s="39"/>
      <c r="C6" s="29"/>
      <c r="D6" s="29"/>
      <c r="E6" s="3">
        <v>20</v>
      </c>
      <c r="F6" s="2">
        <v>40000</v>
      </c>
      <c r="G6" s="154">
        <f>G3</f>
        <v>0.45</v>
      </c>
      <c r="H6" s="38">
        <v>200000</v>
      </c>
      <c r="I6" s="29"/>
      <c r="J6" s="29"/>
      <c r="K6" s="29"/>
      <c r="L6" s="3">
        <v>5</v>
      </c>
      <c r="M6" s="2">
        <v>18000</v>
      </c>
      <c r="N6" s="154">
        <f>N3</f>
        <v>0.1</v>
      </c>
      <c r="O6" s="38">
        <v>100000</v>
      </c>
      <c r="P6" s="13"/>
      <c r="Q6" s="13"/>
      <c r="R6" s="13"/>
      <c r="S6" s="13"/>
      <c r="T6" s="13"/>
      <c r="U6" s="13"/>
      <c r="V6" s="13"/>
    </row>
    <row r="7" spans="1:22" ht="15.75" thickBot="1" x14ac:dyDescent="0.3">
      <c r="A7" s="10" t="s">
        <v>10</v>
      </c>
      <c r="B7" s="39"/>
      <c r="C7" s="29"/>
      <c r="D7" s="29"/>
      <c r="E7" s="85">
        <v>20</v>
      </c>
      <c r="F7" s="86">
        <v>40000</v>
      </c>
      <c r="G7" s="154">
        <f>G3</f>
        <v>0.45</v>
      </c>
      <c r="H7" s="84">
        <v>800000</v>
      </c>
      <c r="I7" s="29"/>
      <c r="J7" s="29"/>
      <c r="K7" s="29"/>
      <c r="L7" s="85">
        <v>5</v>
      </c>
      <c r="M7" s="86">
        <v>18000</v>
      </c>
      <c r="N7" s="154">
        <f>N3</f>
        <v>0.1</v>
      </c>
      <c r="O7" s="84">
        <v>500000</v>
      </c>
      <c r="P7" s="13"/>
      <c r="Q7" s="13"/>
      <c r="R7" s="13"/>
      <c r="S7" s="13"/>
      <c r="T7" s="13"/>
      <c r="U7" s="13"/>
      <c r="V7" s="13"/>
    </row>
    <row r="8" spans="1:22" ht="15.75" thickBot="1" x14ac:dyDescent="0.3">
      <c r="A8" s="13"/>
      <c r="B8" s="47"/>
      <c r="C8" s="48"/>
      <c r="D8" s="48"/>
      <c r="E8" s="45" t="s">
        <v>63</v>
      </c>
      <c r="F8" s="48"/>
      <c r="G8" s="48"/>
      <c r="H8" s="87"/>
      <c r="I8" s="48"/>
      <c r="J8" s="60"/>
      <c r="K8" s="48"/>
      <c r="L8" s="61" t="s">
        <v>49</v>
      </c>
      <c r="M8" s="48"/>
      <c r="N8" s="48"/>
      <c r="O8" s="87"/>
      <c r="P8" s="13"/>
      <c r="Q8" s="13"/>
      <c r="R8" s="13"/>
      <c r="S8" s="13"/>
      <c r="T8" s="13"/>
      <c r="U8" s="13"/>
      <c r="V8" s="13"/>
    </row>
    <row r="9" spans="1:22" x14ac:dyDescent="0.25">
      <c r="A9" s="9" t="s">
        <v>79</v>
      </c>
      <c r="B9" s="149">
        <f>Summary!$B$29+1</f>
        <v>2022</v>
      </c>
      <c r="C9" s="132">
        <f>B9+1</f>
        <v>2023</v>
      </c>
      <c r="D9" s="132">
        <f t="shared" ref="D9" si="0">C9+1</f>
        <v>2024</v>
      </c>
      <c r="E9" s="132">
        <f t="shared" ref="E9" si="1">D9+1</f>
        <v>2025</v>
      </c>
      <c r="F9" s="132">
        <f t="shared" ref="F9" si="2">E9+1</f>
        <v>2026</v>
      </c>
      <c r="G9" s="132">
        <f>F9+1</f>
        <v>2027</v>
      </c>
      <c r="H9" s="79"/>
      <c r="I9" s="150">
        <f>Summary!$B$29+1</f>
        <v>2022</v>
      </c>
      <c r="J9" s="45">
        <f>I9+1</f>
        <v>2023</v>
      </c>
      <c r="K9" s="45">
        <f t="shared" ref="K9" si="3">J9+1</f>
        <v>2024</v>
      </c>
      <c r="L9" s="45">
        <f t="shared" ref="L9" si="4">K9+1</f>
        <v>2025</v>
      </c>
      <c r="M9" s="45">
        <f t="shared" ref="M9" si="5">L9+1</f>
        <v>2026</v>
      </c>
      <c r="N9" s="45">
        <f t="shared" ref="N9" si="6">M9+1</f>
        <v>2027</v>
      </c>
      <c r="O9" s="88"/>
      <c r="P9" s="13"/>
      <c r="Q9" s="13"/>
      <c r="R9" s="13"/>
      <c r="S9" s="13"/>
      <c r="T9" s="13"/>
      <c r="U9" s="13"/>
      <c r="V9" s="13"/>
    </row>
    <row r="10" spans="1:22" x14ac:dyDescent="0.25">
      <c r="A10" s="10" t="str">
        <f>Summary!$E13</f>
        <v>Instruction</v>
      </c>
      <c r="B10" s="39"/>
      <c r="C10" s="148">
        <v>0</v>
      </c>
      <c r="D10" s="148">
        <v>0</v>
      </c>
      <c r="E10" s="148">
        <v>0</v>
      </c>
      <c r="F10" s="148">
        <v>4</v>
      </c>
      <c r="G10" s="148">
        <v>-4</v>
      </c>
      <c r="H10" s="58"/>
      <c r="I10" s="39"/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58"/>
      <c r="P10" s="13"/>
      <c r="Q10" s="13"/>
      <c r="R10" s="13"/>
      <c r="S10" s="13"/>
      <c r="T10" s="13"/>
      <c r="U10" s="13"/>
      <c r="V10" s="13"/>
    </row>
    <row r="11" spans="1:22" x14ac:dyDescent="0.25">
      <c r="A11" s="10" t="str">
        <f>Summary!$E14</f>
        <v>Academic Support</v>
      </c>
      <c r="B11" s="39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58"/>
      <c r="I11" s="39"/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58"/>
      <c r="P11" s="13"/>
      <c r="Q11" s="13"/>
      <c r="R11" s="13"/>
      <c r="S11" s="13"/>
      <c r="T11" s="13"/>
      <c r="U11" s="13"/>
      <c r="V11" s="13"/>
    </row>
    <row r="12" spans="1:22" x14ac:dyDescent="0.25">
      <c r="A12" s="162"/>
      <c r="B12" s="54"/>
      <c r="C12" s="55"/>
      <c r="D12" s="55"/>
      <c r="E12" s="55"/>
      <c r="F12" s="55"/>
      <c r="G12" s="55"/>
      <c r="H12" s="56"/>
      <c r="I12" s="39"/>
      <c r="J12" s="29"/>
      <c r="K12" s="29"/>
      <c r="L12" s="29"/>
      <c r="M12" s="29"/>
      <c r="N12" s="29"/>
      <c r="O12" s="58"/>
      <c r="P12" s="13"/>
      <c r="Q12" s="13"/>
      <c r="R12" s="13"/>
      <c r="S12" s="13"/>
      <c r="T12" s="13"/>
      <c r="U12" s="13"/>
      <c r="V12" s="13"/>
    </row>
    <row r="13" spans="1:22" x14ac:dyDescent="0.25">
      <c r="A13" s="83"/>
      <c r="B13" s="39"/>
      <c r="C13" s="29"/>
      <c r="D13" s="29"/>
      <c r="E13" s="29"/>
      <c r="F13" s="29"/>
      <c r="G13" s="29"/>
      <c r="H13" s="56"/>
      <c r="I13" s="39"/>
      <c r="J13" s="29"/>
      <c r="K13" s="29"/>
      <c r="L13" s="29"/>
      <c r="M13" s="29"/>
      <c r="N13" s="29"/>
      <c r="O13" s="56"/>
      <c r="P13" s="13"/>
      <c r="Q13" s="13"/>
      <c r="R13" s="13"/>
      <c r="S13" s="13"/>
      <c r="T13" s="13"/>
      <c r="U13" s="13"/>
      <c r="V13" s="13"/>
    </row>
    <row r="14" spans="1:22" x14ac:dyDescent="0.25">
      <c r="A14" s="20" t="s">
        <v>80</v>
      </c>
      <c r="B14" s="149">
        <f>Summary!$B$29+1</f>
        <v>2022</v>
      </c>
      <c r="C14" s="50">
        <f>B14+1</f>
        <v>2023</v>
      </c>
      <c r="D14" s="50">
        <f t="shared" ref="D14" si="7">C14+1</f>
        <v>2024</v>
      </c>
      <c r="E14" s="50">
        <f t="shared" ref="E14" si="8">D14+1</f>
        <v>2025</v>
      </c>
      <c r="F14" s="50">
        <f t="shared" ref="F14" si="9">E14+1</f>
        <v>2026</v>
      </c>
      <c r="G14" s="50">
        <f>F14+1</f>
        <v>2027</v>
      </c>
      <c r="H14" s="58"/>
      <c r="I14" s="149">
        <f>Summary!$B$29+1</f>
        <v>2022</v>
      </c>
      <c r="J14" s="50">
        <f>I14+1</f>
        <v>2023</v>
      </c>
      <c r="K14" s="50">
        <f t="shared" ref="K14" si="10">J14+1</f>
        <v>2024</v>
      </c>
      <c r="L14" s="50">
        <f t="shared" ref="L14" si="11">K14+1</f>
        <v>2025</v>
      </c>
      <c r="M14" s="50">
        <f t="shared" ref="M14" si="12">L14+1</f>
        <v>2026</v>
      </c>
      <c r="N14" s="50">
        <f>M14+1</f>
        <v>2027</v>
      </c>
      <c r="O14" s="58"/>
      <c r="P14" s="13"/>
      <c r="Q14" s="13"/>
      <c r="R14" s="13"/>
      <c r="S14" s="13"/>
      <c r="T14" s="13"/>
      <c r="U14" s="13"/>
      <c r="V14" s="13"/>
    </row>
    <row r="15" spans="1:22" x14ac:dyDescent="0.25">
      <c r="A15" s="10" t="str">
        <f>Summary!$E13</f>
        <v>Instruction</v>
      </c>
      <c r="B15" s="39"/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58"/>
      <c r="I15" s="39"/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58"/>
      <c r="P15" s="13"/>
      <c r="Q15" s="13"/>
      <c r="R15" s="13"/>
      <c r="S15" s="13"/>
      <c r="T15" s="13"/>
      <c r="U15" s="13"/>
      <c r="V15" s="13"/>
    </row>
    <row r="16" spans="1:22" x14ac:dyDescent="0.25">
      <c r="A16" s="10" t="str">
        <f>Summary!$E14</f>
        <v>Academic Support</v>
      </c>
      <c r="B16" s="39"/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58"/>
      <c r="I16" s="39"/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58"/>
      <c r="P16" s="13"/>
      <c r="Q16" s="13"/>
      <c r="R16" s="13"/>
      <c r="S16" s="13"/>
      <c r="T16" s="13"/>
      <c r="U16" s="13"/>
      <c r="V16" s="13"/>
    </row>
    <row r="17" spans="1:22" x14ac:dyDescent="0.25">
      <c r="A17" s="10" t="str">
        <f>Summary!$E15</f>
        <v>Student Affairs</v>
      </c>
      <c r="B17" s="39"/>
      <c r="C17" s="3">
        <v>0</v>
      </c>
      <c r="D17" s="3">
        <v>3</v>
      </c>
      <c r="E17" s="3">
        <v>0</v>
      </c>
      <c r="F17" s="3">
        <v>0</v>
      </c>
      <c r="G17" s="3">
        <v>0</v>
      </c>
      <c r="H17" s="58"/>
      <c r="I17" s="39"/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58"/>
      <c r="P17" s="13"/>
      <c r="Q17" s="13"/>
      <c r="R17" s="13"/>
      <c r="S17" s="13"/>
      <c r="T17" s="13"/>
      <c r="U17" s="13"/>
      <c r="V17" s="13"/>
    </row>
    <row r="18" spans="1:22" x14ac:dyDescent="0.25">
      <c r="A18" s="10" t="str">
        <f>Summary!$E16</f>
        <v>Administrative Support</v>
      </c>
      <c r="B18" s="39"/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58"/>
      <c r="I18" s="39"/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58"/>
      <c r="P18" s="13"/>
      <c r="Q18" s="13"/>
      <c r="R18" s="13"/>
      <c r="S18" s="13"/>
      <c r="T18" s="13"/>
      <c r="U18" s="13"/>
      <c r="V18" s="13"/>
    </row>
    <row r="19" spans="1:22" ht="15.75" thickBot="1" x14ac:dyDescent="0.3">
      <c r="A19" s="10" t="str">
        <f>Summary!$E17</f>
        <v>Plant Operations</v>
      </c>
      <c r="B19" s="40"/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59"/>
      <c r="I19" s="40"/>
      <c r="J19" s="41">
        <v>0</v>
      </c>
      <c r="K19" s="41">
        <v>2</v>
      </c>
      <c r="L19" s="41">
        <v>0</v>
      </c>
      <c r="M19" s="41">
        <v>0</v>
      </c>
      <c r="N19" s="41">
        <v>0</v>
      </c>
      <c r="O19" s="59"/>
      <c r="P19" s="13"/>
      <c r="Q19" s="13"/>
      <c r="R19" s="13"/>
      <c r="S19" s="13"/>
      <c r="T19" s="13"/>
      <c r="U19" s="13"/>
      <c r="V19" s="13"/>
    </row>
    <row r="20" spans="1:22" ht="15.75" thickBot="1" x14ac:dyDescent="0.3">
      <c r="A20" s="8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x14ac:dyDescent="0.25">
      <c r="A21" s="13"/>
      <c r="B21" s="47"/>
      <c r="C21" s="48"/>
      <c r="D21" s="48"/>
      <c r="E21" s="74" t="s">
        <v>63</v>
      </c>
      <c r="F21" s="48"/>
      <c r="G21" s="77"/>
      <c r="H21" s="49" t="s">
        <v>62</v>
      </c>
      <c r="I21" s="78"/>
      <c r="J21" s="60"/>
      <c r="K21" s="48"/>
      <c r="L21" s="107" t="s">
        <v>49</v>
      </c>
      <c r="M21" s="48"/>
      <c r="N21" s="77"/>
      <c r="O21" s="49" t="s">
        <v>62</v>
      </c>
      <c r="P21" s="8"/>
      <c r="Q21" s="13"/>
      <c r="R21" s="13"/>
      <c r="S21" s="13"/>
      <c r="T21" s="13"/>
      <c r="U21" s="13"/>
      <c r="V21" s="13"/>
    </row>
    <row r="22" spans="1:22" x14ac:dyDescent="0.25">
      <c r="A22" s="9" t="s">
        <v>24</v>
      </c>
      <c r="B22" s="149">
        <f>Summary!$B$29+1</f>
        <v>2022</v>
      </c>
      <c r="C22" s="132">
        <f>B22+1</f>
        <v>2023</v>
      </c>
      <c r="D22" s="132">
        <f t="shared" ref="D22:F22" si="13">C22+1</f>
        <v>2024</v>
      </c>
      <c r="E22" s="132">
        <f t="shared" si="13"/>
        <v>2025</v>
      </c>
      <c r="F22" s="132">
        <f t="shared" si="13"/>
        <v>2026</v>
      </c>
      <c r="G22" s="132">
        <f>F22+1</f>
        <v>2027</v>
      </c>
      <c r="H22" s="79"/>
      <c r="I22" s="149">
        <f>Summary!$B$29+1</f>
        <v>2022</v>
      </c>
      <c r="J22" s="132">
        <f>I22+1</f>
        <v>2023</v>
      </c>
      <c r="K22" s="132">
        <f t="shared" ref="K22:N22" si="14">J22+1</f>
        <v>2024</v>
      </c>
      <c r="L22" s="132">
        <f t="shared" si="14"/>
        <v>2025</v>
      </c>
      <c r="M22" s="132">
        <f t="shared" si="14"/>
        <v>2026</v>
      </c>
      <c r="N22" s="132">
        <f t="shared" si="14"/>
        <v>2027</v>
      </c>
      <c r="O22" s="79"/>
      <c r="P22" s="13"/>
      <c r="Q22" s="13"/>
      <c r="R22" s="13"/>
      <c r="S22" s="13"/>
      <c r="T22" s="13"/>
      <c r="U22" s="13"/>
      <c r="V22" s="13"/>
    </row>
    <row r="23" spans="1:22" x14ac:dyDescent="0.25">
      <c r="A23" s="10" t="str">
        <f>Summary!$E13</f>
        <v>Instruction</v>
      </c>
      <c r="B23" s="51">
        <f>B3</f>
        <v>120</v>
      </c>
      <c r="C23" s="46">
        <f>B23+$H$23+C10</f>
        <v>116</v>
      </c>
      <c r="D23" s="46">
        <f t="shared" ref="D23:G23" si="15">C23+$H$23+D10</f>
        <v>112</v>
      </c>
      <c r="E23" s="46">
        <f t="shared" si="15"/>
        <v>108</v>
      </c>
      <c r="F23" s="46">
        <f t="shared" si="15"/>
        <v>108</v>
      </c>
      <c r="G23" s="46">
        <f t="shared" si="15"/>
        <v>100</v>
      </c>
      <c r="H23" s="52">
        <f>Summary!B16</f>
        <v>-4</v>
      </c>
      <c r="I23" s="51">
        <f>I3</f>
        <v>20</v>
      </c>
      <c r="J23" s="46">
        <f>I23+$O$23</f>
        <v>28</v>
      </c>
      <c r="K23" s="46">
        <f t="shared" ref="K23:N23" si="16">J23+$O$23</f>
        <v>36</v>
      </c>
      <c r="L23" s="46">
        <f t="shared" si="16"/>
        <v>44</v>
      </c>
      <c r="M23" s="46">
        <f t="shared" si="16"/>
        <v>52</v>
      </c>
      <c r="N23" s="46">
        <f t="shared" si="16"/>
        <v>60</v>
      </c>
      <c r="O23" s="52">
        <f>Summary!$B$18</f>
        <v>8</v>
      </c>
      <c r="P23" s="13"/>
      <c r="Q23" s="13"/>
      <c r="R23" s="13"/>
      <c r="S23" s="13"/>
      <c r="T23" s="13"/>
      <c r="U23" s="13"/>
      <c r="V23" s="13"/>
    </row>
    <row r="24" spans="1:22" x14ac:dyDescent="0.25">
      <c r="A24" s="10" t="str">
        <f>Summary!$E14</f>
        <v>Academic Support</v>
      </c>
      <c r="B24" s="51">
        <f>B4</f>
        <v>5</v>
      </c>
      <c r="C24" s="46">
        <f>B24+$H$24+C11</f>
        <v>5</v>
      </c>
      <c r="D24" s="46">
        <f t="shared" ref="D24:G24" si="17">C24+$H$24+D11</f>
        <v>5</v>
      </c>
      <c r="E24" s="46">
        <f t="shared" si="17"/>
        <v>5</v>
      </c>
      <c r="F24" s="46">
        <f t="shared" si="17"/>
        <v>5</v>
      </c>
      <c r="G24" s="46">
        <f t="shared" si="17"/>
        <v>5</v>
      </c>
      <c r="H24" s="53">
        <v>0</v>
      </c>
      <c r="I24" s="51">
        <f>I4</f>
        <v>0</v>
      </c>
      <c r="J24" s="46">
        <f>I24+$O$24</f>
        <v>0</v>
      </c>
      <c r="K24" s="46">
        <f t="shared" ref="K24:N24" si="18">J24+$O$24</f>
        <v>0</v>
      </c>
      <c r="L24" s="46">
        <f t="shared" si="18"/>
        <v>0</v>
      </c>
      <c r="M24" s="46">
        <f t="shared" si="18"/>
        <v>0</v>
      </c>
      <c r="N24" s="46">
        <f t="shared" si="18"/>
        <v>0</v>
      </c>
      <c r="O24" s="53">
        <v>0</v>
      </c>
      <c r="P24" s="13"/>
      <c r="Q24" s="13"/>
      <c r="R24" s="13"/>
      <c r="S24" s="13"/>
      <c r="T24" s="13"/>
      <c r="U24" s="13"/>
      <c r="V24" s="13"/>
    </row>
    <row r="25" spans="1:22" x14ac:dyDescent="0.25">
      <c r="A25" s="162"/>
      <c r="B25" s="54"/>
      <c r="C25" s="55"/>
      <c r="D25" s="55"/>
      <c r="E25" s="55"/>
      <c r="F25" s="55"/>
      <c r="G25" s="55"/>
      <c r="H25" s="56"/>
      <c r="I25" s="39"/>
      <c r="J25" s="29"/>
      <c r="K25" s="29"/>
      <c r="L25" s="29"/>
      <c r="M25" s="29"/>
      <c r="N25" s="29"/>
      <c r="O25" s="58"/>
      <c r="P25" s="13"/>
      <c r="Q25" s="13"/>
      <c r="R25" s="13"/>
      <c r="S25" s="13"/>
      <c r="T25" s="13"/>
      <c r="U25" s="13"/>
      <c r="V25" s="13"/>
    </row>
    <row r="26" spans="1:22" x14ac:dyDescent="0.25">
      <c r="A26" s="83"/>
      <c r="B26" s="39"/>
      <c r="C26" s="29"/>
      <c r="D26" s="29"/>
      <c r="E26" s="29"/>
      <c r="F26" s="29"/>
      <c r="G26" s="29"/>
      <c r="H26" s="57" t="s">
        <v>28</v>
      </c>
      <c r="I26" s="39"/>
      <c r="J26" s="29"/>
      <c r="K26" s="29"/>
      <c r="L26" s="29"/>
      <c r="M26" s="29"/>
      <c r="N26" s="29"/>
      <c r="O26" s="57" t="s">
        <v>28</v>
      </c>
      <c r="P26" s="13"/>
      <c r="Q26" s="13"/>
      <c r="R26" s="13"/>
      <c r="S26" s="13"/>
      <c r="T26" s="13"/>
      <c r="U26" s="13"/>
      <c r="V26" s="13"/>
    </row>
    <row r="27" spans="1:22" x14ac:dyDescent="0.25">
      <c r="A27" s="20" t="s">
        <v>25</v>
      </c>
      <c r="B27" s="149">
        <f>Summary!$B$29+1</f>
        <v>2022</v>
      </c>
      <c r="C27" s="132">
        <f>B27+1</f>
        <v>2023</v>
      </c>
      <c r="D27" s="132">
        <f t="shared" ref="D27:F27" si="19">C27+1</f>
        <v>2024</v>
      </c>
      <c r="E27" s="132">
        <f t="shared" si="19"/>
        <v>2025</v>
      </c>
      <c r="F27" s="132">
        <f t="shared" si="19"/>
        <v>2026</v>
      </c>
      <c r="G27" s="132">
        <f>F27+1</f>
        <v>2027</v>
      </c>
      <c r="H27" s="52">
        <f>Summary!B17</f>
        <v>-3</v>
      </c>
      <c r="I27" s="149">
        <f>Summary!$B$29+1</f>
        <v>2022</v>
      </c>
      <c r="J27" s="132">
        <f>I27+1</f>
        <v>2023</v>
      </c>
      <c r="K27" s="132">
        <f t="shared" ref="K27" si="20">J27+1</f>
        <v>2024</v>
      </c>
      <c r="L27" s="132">
        <f t="shared" ref="L27" si="21">K27+1</f>
        <v>2025</v>
      </c>
      <c r="M27" s="132">
        <f t="shared" ref="M27" si="22">L27+1</f>
        <v>2026</v>
      </c>
      <c r="N27" s="132">
        <f>M27+1</f>
        <v>2027</v>
      </c>
      <c r="O27" s="52">
        <f>Summary!$B$19</f>
        <v>-1</v>
      </c>
      <c r="P27" s="13"/>
      <c r="Q27" s="13"/>
      <c r="R27" s="13"/>
      <c r="S27" s="13"/>
      <c r="T27" s="13"/>
      <c r="U27" s="13"/>
      <c r="V27" s="13"/>
    </row>
    <row r="28" spans="1:22" x14ac:dyDescent="0.25">
      <c r="A28" s="10" t="str">
        <f>Summary!$E13</f>
        <v>Instruction</v>
      </c>
      <c r="B28" s="89">
        <f>E3</f>
        <v>20</v>
      </c>
      <c r="C28" s="22">
        <f>Staffing!B28+C15+(B28/B$33)*$H$27</f>
        <v>19.478260869565219</v>
      </c>
      <c r="D28" s="22">
        <f>Staffing!C28+D15+(C28/C$33)*$H$27</f>
        <v>18.956521739130437</v>
      </c>
      <c r="E28" s="22">
        <f>Staffing!D28+E15+(D28/D$33)*$H$27</f>
        <v>18.448757763975159</v>
      </c>
      <c r="F28" s="22">
        <f>Staffing!E28+F15+(E28/E$33)*$H$27</f>
        <v>17.940993788819881</v>
      </c>
      <c r="G28" s="22">
        <f>Staffing!F28+G15+(F28/F$33)*$H$27</f>
        <v>17.433229813664603</v>
      </c>
      <c r="H28" s="58"/>
      <c r="I28" s="89">
        <f>L3</f>
        <v>5</v>
      </c>
      <c r="J28" s="22">
        <f>Staffing!I28+J15+(I28/I$33)*$O$27</f>
        <v>4.8888888888888893</v>
      </c>
      <c r="K28" s="22">
        <f>Staffing!J28+K15+(J28/J$33)*$O$27</f>
        <v>4.7777777777777786</v>
      </c>
      <c r="L28" s="22">
        <f>Staffing!K28+L15+(K28/K$33)*$O$27</f>
        <v>4.6716049382716056</v>
      </c>
      <c r="M28" s="22">
        <f>Staffing!L28+M15+(L28/L$33)*$O$27</f>
        <v>4.5654320987654327</v>
      </c>
      <c r="N28" s="22">
        <f>Staffing!M28+N15+(M28/M$33)*$O$27</f>
        <v>4.4592592592592597</v>
      </c>
      <c r="O28" s="58"/>
      <c r="P28" s="13"/>
      <c r="Q28" s="13"/>
      <c r="R28" s="13"/>
      <c r="S28" s="13"/>
      <c r="T28" s="13"/>
      <c r="U28" s="13"/>
      <c r="V28" s="13"/>
    </row>
    <row r="29" spans="1:22" x14ac:dyDescent="0.25">
      <c r="A29" s="10" t="str">
        <f>Summary!$E14</f>
        <v>Academic Support</v>
      </c>
      <c r="B29" s="89">
        <f>E4</f>
        <v>25</v>
      </c>
      <c r="C29" s="22">
        <f>Staffing!B29+C16+(B29/B$33)*$H$27</f>
        <v>24.347826086956523</v>
      </c>
      <c r="D29" s="22">
        <f>Staffing!C29+D16+(C29/C$33)*$H$27</f>
        <v>23.695652173913047</v>
      </c>
      <c r="E29" s="22">
        <f>Staffing!D29+E16+(D29/D$33)*$H$27</f>
        <v>23.060947204968947</v>
      </c>
      <c r="F29" s="22">
        <f>Staffing!E29+F16+(E29/E$33)*$H$27</f>
        <v>22.426242236024848</v>
      </c>
      <c r="G29" s="22">
        <f>Staffing!F29+G16+(F29/F$33)*$H$27</f>
        <v>21.791537267080749</v>
      </c>
      <c r="H29" s="58"/>
      <c r="I29" s="89">
        <f>L4</f>
        <v>10</v>
      </c>
      <c r="J29" s="22">
        <f>Staffing!I29+J16+(I29/I$33)*$O$27</f>
        <v>9.7777777777777786</v>
      </c>
      <c r="K29" s="22">
        <f>Staffing!J29+K16+(J29/J$33)*$O$27</f>
        <v>9.5555555555555571</v>
      </c>
      <c r="L29" s="22">
        <f>Staffing!K29+L16+(K29/K$33)*$O$27</f>
        <v>9.3432098765432112</v>
      </c>
      <c r="M29" s="22">
        <f>Staffing!L29+M16+(L29/L$33)*$O$27</f>
        <v>9.1308641975308653</v>
      </c>
      <c r="N29" s="22">
        <f>Staffing!M29+N16+(M29/M$33)*$O$27</f>
        <v>8.9185185185185194</v>
      </c>
      <c r="O29" s="58"/>
      <c r="P29" s="13"/>
      <c r="Q29" s="13"/>
      <c r="R29" s="13"/>
      <c r="S29" s="13"/>
      <c r="T29" s="13"/>
      <c r="U29" s="13"/>
      <c r="V29" s="13"/>
    </row>
    <row r="30" spans="1:22" x14ac:dyDescent="0.25">
      <c r="A30" s="10" t="str">
        <f>Summary!$E15</f>
        <v>Student Affairs</v>
      </c>
      <c r="B30" s="89">
        <f>E5</f>
        <v>30</v>
      </c>
      <c r="C30" s="22">
        <f>Staffing!B30+C17+(B30/B$33)*$H$27</f>
        <v>29.217391304347828</v>
      </c>
      <c r="D30" s="22">
        <f>Staffing!C30+D17+(C30/C$33)*$H$27</f>
        <v>31.434782608695656</v>
      </c>
      <c r="E30" s="22">
        <f>Staffing!D30+E17+(D30/D$33)*$H$27</f>
        <v>30.592779503105593</v>
      </c>
      <c r="F30" s="22">
        <f>Staffing!E30+F17+(E30/E$33)*$H$27</f>
        <v>29.75077639751553</v>
      </c>
      <c r="G30" s="22">
        <f>Staffing!F30+G17+(F30/F$33)*$H$27</f>
        <v>28.908773291925467</v>
      </c>
      <c r="H30" s="58"/>
      <c r="I30" s="89">
        <f>L5</f>
        <v>20</v>
      </c>
      <c r="J30" s="22">
        <f>Staffing!I30+J17+(I30/I$33)*$O$27</f>
        <v>19.555555555555557</v>
      </c>
      <c r="K30" s="22">
        <f>Staffing!J30+K17+(J30/J$33)*$O$27</f>
        <v>19.111111111111114</v>
      </c>
      <c r="L30" s="22">
        <f>Staffing!K30+L17+(K30/K$33)*$O$27</f>
        <v>18.686419753086422</v>
      </c>
      <c r="M30" s="22">
        <f>Staffing!L30+M17+(L30/L$33)*$O$27</f>
        <v>18.261728395061731</v>
      </c>
      <c r="N30" s="22">
        <f>Staffing!M30+N17+(M30/M$33)*$O$27</f>
        <v>17.837037037037039</v>
      </c>
      <c r="O30" s="58"/>
      <c r="P30" s="13"/>
      <c r="Q30" s="13"/>
      <c r="R30" s="13"/>
      <c r="S30" s="13"/>
      <c r="T30" s="13"/>
      <c r="U30" s="13"/>
      <c r="V30" s="13"/>
    </row>
    <row r="31" spans="1:22" x14ac:dyDescent="0.25">
      <c r="A31" s="10" t="str">
        <f>Summary!$E16</f>
        <v>Administrative Support</v>
      </c>
      <c r="B31" s="89">
        <f>E6</f>
        <v>20</v>
      </c>
      <c r="C31" s="22">
        <f>Staffing!B31+C18+(B31/B$33)*$H$27</f>
        <v>19.478260869565219</v>
      </c>
      <c r="D31" s="22">
        <f>Staffing!C31+D18+(C31/C$33)*$H$27</f>
        <v>18.956521739130437</v>
      </c>
      <c r="E31" s="22">
        <f>Staffing!D31+E18+(D31/D$33)*$H$27</f>
        <v>18.448757763975159</v>
      </c>
      <c r="F31" s="22">
        <f>Staffing!E31+F18+(E31/E$33)*$H$27</f>
        <v>17.940993788819881</v>
      </c>
      <c r="G31" s="22">
        <f>Staffing!F31+G18+(F31/F$33)*$H$27</f>
        <v>17.433229813664603</v>
      </c>
      <c r="H31" s="58"/>
      <c r="I31" s="89">
        <f>L6</f>
        <v>5</v>
      </c>
      <c r="J31" s="22">
        <f>Staffing!I31+J18+(I31/I$33)*$O$27</f>
        <v>4.8888888888888893</v>
      </c>
      <c r="K31" s="22">
        <f>Staffing!J31+K18+(J31/J$33)*$O$27</f>
        <v>4.7777777777777786</v>
      </c>
      <c r="L31" s="22">
        <f>Staffing!K31+L18+(K31/K$33)*$O$27</f>
        <v>4.6716049382716056</v>
      </c>
      <c r="M31" s="22">
        <f>Staffing!L31+M18+(L31/L$33)*$O$27</f>
        <v>4.5654320987654327</v>
      </c>
      <c r="N31" s="22">
        <f>Staffing!M31+N18+(M31/M$33)*$O$27</f>
        <v>4.4592592592592597</v>
      </c>
      <c r="O31" s="58"/>
      <c r="P31" s="13"/>
      <c r="Q31" s="13"/>
      <c r="R31" s="13"/>
      <c r="S31" s="13"/>
      <c r="T31" s="13"/>
      <c r="U31" s="13"/>
      <c r="V31" s="13"/>
    </row>
    <row r="32" spans="1:22" x14ac:dyDescent="0.25">
      <c r="A32" s="10" t="str">
        <f>Summary!$E17</f>
        <v>Plant Operations</v>
      </c>
      <c r="B32" s="90">
        <f>E7</f>
        <v>20</v>
      </c>
      <c r="C32" s="5">
        <f>Staffing!B32+C19+(B32/B$33)*$H$27</f>
        <v>19.478260869565219</v>
      </c>
      <c r="D32" s="5">
        <f>Staffing!C32+D19+(C32/C$33)*$H$27</f>
        <v>18.956521739130437</v>
      </c>
      <c r="E32" s="5">
        <f>Staffing!D32+E19+(D32/D$33)*$H$27</f>
        <v>18.448757763975159</v>
      </c>
      <c r="F32" s="5">
        <f>Staffing!E32+F19+(E32/E$33)*$H$27</f>
        <v>17.940993788819881</v>
      </c>
      <c r="G32" s="5">
        <f>Staffing!F32+G19+(F32/F$33)*$H$27</f>
        <v>17.433229813664603</v>
      </c>
      <c r="H32" s="58"/>
      <c r="I32" s="90">
        <f>L7</f>
        <v>5</v>
      </c>
      <c r="J32" s="5">
        <f>Staffing!I32+J19+(I32/I$33)*$O$27</f>
        <v>4.8888888888888893</v>
      </c>
      <c r="K32" s="5">
        <f>Staffing!J32+K19+(J32/J$33)*$O$27</f>
        <v>6.7777777777777786</v>
      </c>
      <c r="L32" s="5">
        <f>Staffing!K32+L19+(K32/K$33)*$O$27</f>
        <v>6.6271604938271613</v>
      </c>
      <c r="M32" s="5">
        <f>Staffing!L32+M19+(L32/L$33)*$O$27</f>
        <v>6.4765432098765441</v>
      </c>
      <c r="N32" s="5">
        <f>Staffing!M32+N19+(M32/M$33)*$O$27</f>
        <v>6.3259259259259268</v>
      </c>
      <c r="O32" s="58"/>
      <c r="P32" s="13"/>
      <c r="Q32" s="13"/>
      <c r="R32" s="13"/>
      <c r="S32" s="13"/>
      <c r="T32" s="13"/>
      <c r="U32" s="13"/>
      <c r="V32" s="13"/>
    </row>
    <row r="33" spans="1:22" ht="15.75" thickBot="1" x14ac:dyDescent="0.3">
      <c r="A33" s="83"/>
      <c r="B33" s="91">
        <f>SUM(B28:B32)</f>
        <v>115</v>
      </c>
      <c r="C33" s="92">
        <f t="shared" ref="C33:G33" si="23">SUM(C28:C32)</f>
        <v>112</v>
      </c>
      <c r="D33" s="92">
        <f t="shared" si="23"/>
        <v>112.00000000000001</v>
      </c>
      <c r="E33" s="92">
        <f t="shared" si="23"/>
        <v>109</v>
      </c>
      <c r="F33" s="92">
        <f t="shared" si="23"/>
        <v>106.00000000000003</v>
      </c>
      <c r="G33" s="92">
        <f t="shared" si="23"/>
        <v>103.00000000000003</v>
      </c>
      <c r="H33" s="59"/>
      <c r="I33" s="91">
        <f>SUM(I28:I32)</f>
        <v>45</v>
      </c>
      <c r="J33" s="92">
        <f t="shared" ref="J33:N33" si="24">SUM(J28:J32)</f>
        <v>44</v>
      </c>
      <c r="K33" s="92">
        <f t="shared" si="24"/>
        <v>45.000000000000007</v>
      </c>
      <c r="L33" s="92">
        <f t="shared" si="24"/>
        <v>44.000000000000007</v>
      </c>
      <c r="M33" s="92">
        <f t="shared" si="24"/>
        <v>43.000000000000007</v>
      </c>
      <c r="N33" s="92">
        <f t="shared" si="24"/>
        <v>42.000000000000007</v>
      </c>
      <c r="O33" s="59"/>
      <c r="P33" s="13"/>
      <c r="Q33" s="13"/>
      <c r="R33" s="13"/>
      <c r="S33" s="13"/>
      <c r="T33" s="13"/>
      <c r="U33" s="13"/>
      <c r="V33" s="13"/>
    </row>
    <row r="34" spans="1:22" x14ac:dyDescent="0.25">
      <c r="A34" s="8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spans="1:22" x14ac:dyDescent="0.25">
      <c r="A35" s="10" t="s">
        <v>133</v>
      </c>
      <c r="B35" s="4">
        <f>B23+B24+I23++I24</f>
        <v>145</v>
      </c>
      <c r="C35" s="4">
        <f t="shared" ref="C35:G35" si="25">C23+C24+J23++J24</f>
        <v>149</v>
      </c>
      <c r="D35" s="4">
        <f t="shared" si="25"/>
        <v>153</v>
      </c>
      <c r="E35" s="4">
        <f t="shared" si="25"/>
        <v>157</v>
      </c>
      <c r="F35" s="4">
        <f t="shared" si="25"/>
        <v>165</v>
      </c>
      <c r="G35" s="4">
        <f t="shared" si="25"/>
        <v>165</v>
      </c>
      <c r="H35" s="101" t="s">
        <v>134</v>
      </c>
      <c r="I35" s="100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spans="1:22" x14ac:dyDescent="0.25">
      <c r="A36" s="10" t="s">
        <v>135</v>
      </c>
      <c r="B36" s="4">
        <f>B23+$H$36*I23</f>
        <v>126</v>
      </c>
      <c r="C36" s="4">
        <f t="shared" ref="C36:G36" si="26">C23+$H$36*J23</f>
        <v>124.4</v>
      </c>
      <c r="D36" s="4">
        <f t="shared" si="26"/>
        <v>122.8</v>
      </c>
      <c r="E36" s="4">
        <f t="shared" si="26"/>
        <v>121.2</v>
      </c>
      <c r="F36" s="4">
        <f t="shared" si="26"/>
        <v>123.6</v>
      </c>
      <c r="G36" s="4">
        <f t="shared" si="26"/>
        <v>118</v>
      </c>
      <c r="H36" s="3">
        <v>0.3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spans="1:22" x14ac:dyDescent="0.25">
      <c r="A37" s="83"/>
      <c r="B37" s="13"/>
      <c r="C37" s="13"/>
      <c r="D37" s="13"/>
      <c r="E37" s="13"/>
      <c r="F37" s="13"/>
      <c r="G37" s="13"/>
      <c r="H37" s="29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spans="1:22" x14ac:dyDescent="0.25">
      <c r="A38" s="83"/>
      <c r="B38" s="13"/>
      <c r="C38" s="13"/>
      <c r="D38" s="13"/>
      <c r="E38" s="151" t="s">
        <v>63</v>
      </c>
      <c r="F38" s="13"/>
      <c r="G38" s="8"/>
      <c r="H38" s="12" t="s">
        <v>45</v>
      </c>
      <c r="I38" s="8"/>
      <c r="J38" s="13"/>
      <c r="K38" s="13"/>
      <c r="L38" s="152" t="s">
        <v>49</v>
      </c>
      <c r="M38" s="13"/>
      <c r="N38" s="8"/>
      <c r="O38" s="12" t="s">
        <v>45</v>
      </c>
      <c r="P38" s="8"/>
      <c r="Q38" s="13"/>
      <c r="R38" s="13"/>
      <c r="S38" s="13"/>
      <c r="T38" s="13"/>
      <c r="U38" s="13"/>
      <c r="V38" s="13"/>
    </row>
    <row r="39" spans="1:22" x14ac:dyDescent="0.25">
      <c r="A39" s="20" t="s">
        <v>26</v>
      </c>
      <c r="B39" s="132">
        <f>Summary!$B$29+1</f>
        <v>2022</v>
      </c>
      <c r="C39" s="132">
        <f>B39+1</f>
        <v>2023</v>
      </c>
      <c r="D39" s="132">
        <f t="shared" ref="D39:F39" si="27">C39+1</f>
        <v>2024</v>
      </c>
      <c r="E39" s="132">
        <f t="shared" si="27"/>
        <v>2025</v>
      </c>
      <c r="F39" s="132">
        <f t="shared" si="27"/>
        <v>2026</v>
      </c>
      <c r="G39" s="132">
        <f>F39+1</f>
        <v>2027</v>
      </c>
      <c r="H39" s="35"/>
      <c r="I39" s="132">
        <f>Summary!$B$29+1</f>
        <v>2022</v>
      </c>
      <c r="J39" s="132">
        <f>I39+1</f>
        <v>2023</v>
      </c>
      <c r="K39" s="132">
        <f t="shared" ref="K39" si="28">J39+1</f>
        <v>2024</v>
      </c>
      <c r="L39" s="132">
        <f t="shared" ref="L39" si="29">K39+1</f>
        <v>2025</v>
      </c>
      <c r="M39" s="132">
        <f t="shared" ref="M39" si="30">L39+1</f>
        <v>2026</v>
      </c>
      <c r="N39" s="132">
        <f>M39+1</f>
        <v>2027</v>
      </c>
      <c r="O39" s="35"/>
      <c r="P39" s="13"/>
      <c r="Q39" s="13"/>
      <c r="R39" s="13"/>
      <c r="S39" s="13"/>
      <c r="T39" s="13"/>
      <c r="U39" s="13"/>
      <c r="V39" s="13"/>
    </row>
    <row r="40" spans="1:22" x14ac:dyDescent="0.25">
      <c r="A40" s="10" t="str">
        <f>Summary!$E13</f>
        <v>Instruction</v>
      </c>
      <c r="B40" s="6">
        <f>C3</f>
        <v>90000</v>
      </c>
      <c r="C40" s="6">
        <f t="shared" ref="C40:G41" si="31">B40*(1+$P$3+$H$40)</f>
        <v>92700</v>
      </c>
      <c r="D40" s="6">
        <f t="shared" si="31"/>
        <v>95481</v>
      </c>
      <c r="E40" s="6">
        <f t="shared" si="31"/>
        <v>98345.430000000008</v>
      </c>
      <c r="F40" s="6">
        <f t="shared" si="31"/>
        <v>101295.79290000001</v>
      </c>
      <c r="G40" s="6">
        <f t="shared" si="31"/>
        <v>104334.66668700002</v>
      </c>
      <c r="H40" s="155">
        <f>Summary!B12</f>
        <v>0.01</v>
      </c>
      <c r="I40" s="6">
        <f>J3</f>
        <v>15000</v>
      </c>
      <c r="J40" s="6">
        <f t="shared" ref="J40:N41" si="32">I40*(1+$P$3+$O$40)</f>
        <v>15450</v>
      </c>
      <c r="K40" s="6">
        <f t="shared" si="32"/>
        <v>15913.5</v>
      </c>
      <c r="L40" s="6">
        <f t="shared" si="32"/>
        <v>16390.904999999999</v>
      </c>
      <c r="M40" s="6">
        <f t="shared" si="32"/>
        <v>16882.632149999998</v>
      </c>
      <c r="N40" s="6">
        <f t="shared" si="32"/>
        <v>17389.1111145</v>
      </c>
      <c r="O40" s="155">
        <f>Summary!B14</f>
        <v>0.01</v>
      </c>
      <c r="P40" s="13"/>
      <c r="Q40" s="13"/>
      <c r="R40" s="13"/>
      <c r="S40" s="13"/>
      <c r="T40" s="13"/>
      <c r="U40" s="13"/>
      <c r="V40" s="13"/>
    </row>
    <row r="41" spans="1:22" x14ac:dyDescent="0.25">
      <c r="A41" s="10" t="str">
        <f>Summary!$E14</f>
        <v>Academic Support</v>
      </c>
      <c r="B41" s="6">
        <f>C4</f>
        <v>90000</v>
      </c>
      <c r="C41" s="6">
        <f t="shared" si="31"/>
        <v>92700</v>
      </c>
      <c r="D41" s="6">
        <f t="shared" si="31"/>
        <v>95481</v>
      </c>
      <c r="E41" s="6">
        <f t="shared" si="31"/>
        <v>98345.430000000008</v>
      </c>
      <c r="F41" s="6">
        <f t="shared" si="31"/>
        <v>101295.79290000001</v>
      </c>
      <c r="G41" s="6">
        <f t="shared" si="31"/>
        <v>104334.66668700002</v>
      </c>
      <c r="H41" s="13"/>
      <c r="I41" s="6">
        <f>J4</f>
        <v>15000</v>
      </c>
      <c r="J41" s="6">
        <f t="shared" si="32"/>
        <v>15450</v>
      </c>
      <c r="K41" s="6">
        <f t="shared" si="32"/>
        <v>15913.5</v>
      </c>
      <c r="L41" s="6">
        <f t="shared" si="32"/>
        <v>16390.904999999999</v>
      </c>
      <c r="M41" s="6">
        <f t="shared" si="32"/>
        <v>16882.632149999998</v>
      </c>
      <c r="N41" s="6">
        <f t="shared" si="32"/>
        <v>17389.1111145</v>
      </c>
      <c r="O41" s="13"/>
      <c r="P41" s="13"/>
      <c r="Q41" s="13"/>
      <c r="R41" s="13"/>
      <c r="S41" s="13"/>
      <c r="T41" s="13"/>
      <c r="U41" s="13"/>
      <c r="V41" s="13"/>
    </row>
    <row r="42" spans="1:22" x14ac:dyDescent="0.25">
      <c r="A42" s="83"/>
      <c r="B42" s="13"/>
      <c r="C42" s="13"/>
      <c r="D42" s="13"/>
      <c r="E42" s="13"/>
      <c r="F42" s="13"/>
      <c r="G42" s="8"/>
      <c r="H42" s="12" t="s">
        <v>45</v>
      </c>
      <c r="I42" s="8"/>
      <c r="J42" s="13"/>
      <c r="K42" s="13"/>
      <c r="L42" s="13"/>
      <c r="M42" s="13"/>
      <c r="N42" s="8"/>
      <c r="O42" s="12" t="s">
        <v>45</v>
      </c>
      <c r="P42" s="8"/>
      <c r="Q42" s="13"/>
      <c r="R42" s="13"/>
      <c r="S42" s="13"/>
      <c r="T42" s="13"/>
      <c r="U42" s="13"/>
      <c r="V42" s="13"/>
    </row>
    <row r="43" spans="1:22" x14ac:dyDescent="0.25">
      <c r="A43" s="20" t="s">
        <v>27</v>
      </c>
      <c r="B43" s="132">
        <f>Summary!$B$29+1</f>
        <v>2022</v>
      </c>
      <c r="C43" s="132">
        <f>B43+1</f>
        <v>2023</v>
      </c>
      <c r="D43" s="132">
        <f t="shared" ref="D43:F43" si="33">C43+1</f>
        <v>2024</v>
      </c>
      <c r="E43" s="132">
        <f t="shared" si="33"/>
        <v>2025</v>
      </c>
      <c r="F43" s="132">
        <f t="shared" si="33"/>
        <v>2026</v>
      </c>
      <c r="G43" s="132">
        <f>F43+1</f>
        <v>2027</v>
      </c>
      <c r="H43" s="76"/>
      <c r="I43" s="132">
        <f>Summary!$B$29+1</f>
        <v>2022</v>
      </c>
      <c r="J43" s="132">
        <f>I43+1</f>
        <v>2023</v>
      </c>
      <c r="K43" s="132">
        <f t="shared" ref="K43" si="34">J43+1</f>
        <v>2024</v>
      </c>
      <c r="L43" s="132">
        <f t="shared" ref="L43" si="35">K43+1</f>
        <v>2025</v>
      </c>
      <c r="M43" s="132">
        <f t="shared" ref="M43" si="36">L43+1</f>
        <v>2026</v>
      </c>
      <c r="N43" s="132">
        <f>M43+1</f>
        <v>2027</v>
      </c>
      <c r="O43" s="76"/>
      <c r="P43" s="13"/>
      <c r="Q43" s="13"/>
      <c r="R43" s="13"/>
      <c r="S43" s="13"/>
      <c r="T43" s="13"/>
      <c r="U43" s="13"/>
      <c r="V43" s="13"/>
    </row>
    <row r="44" spans="1:22" x14ac:dyDescent="0.25">
      <c r="A44" s="10" t="str">
        <f>Summary!$E13</f>
        <v>Instruction</v>
      </c>
      <c r="B44" s="6">
        <f>F3</f>
        <v>40000</v>
      </c>
      <c r="C44" s="6">
        <f t="shared" ref="C44:G48" si="37">B44*(1+$H$44+$P$3)</f>
        <v>40800</v>
      </c>
      <c r="D44" s="6">
        <f t="shared" si="37"/>
        <v>41616</v>
      </c>
      <c r="E44" s="6">
        <f t="shared" si="37"/>
        <v>42448.32</v>
      </c>
      <c r="F44" s="6">
        <f t="shared" si="37"/>
        <v>43297.286399999997</v>
      </c>
      <c r="G44" s="6">
        <f t="shared" si="37"/>
        <v>44163.232127999996</v>
      </c>
      <c r="H44" s="155">
        <f>Summary!B13</f>
        <v>0</v>
      </c>
      <c r="I44" s="6">
        <f>M3</f>
        <v>18000</v>
      </c>
      <c r="J44" s="6">
        <f t="shared" ref="J44:N48" si="38">I44*(1+$O$44+$P$3)</f>
        <v>18540</v>
      </c>
      <c r="K44" s="6">
        <f t="shared" si="38"/>
        <v>19096.2</v>
      </c>
      <c r="L44" s="6">
        <f t="shared" si="38"/>
        <v>19669.086000000003</v>
      </c>
      <c r="M44" s="6">
        <f t="shared" si="38"/>
        <v>20259.158580000003</v>
      </c>
      <c r="N44" s="6">
        <f t="shared" si="38"/>
        <v>20866.933337400005</v>
      </c>
      <c r="O44" s="155">
        <f>Summary!B15</f>
        <v>0.01</v>
      </c>
      <c r="P44" s="13"/>
      <c r="Q44" s="13"/>
      <c r="R44" s="13"/>
      <c r="S44" s="13"/>
      <c r="T44" s="13"/>
      <c r="U44" s="13"/>
      <c r="V44" s="13"/>
    </row>
    <row r="45" spans="1:22" x14ac:dyDescent="0.25">
      <c r="A45" s="10" t="str">
        <f>Summary!$E14</f>
        <v>Academic Support</v>
      </c>
      <c r="B45" s="6">
        <f>F4</f>
        <v>40000</v>
      </c>
      <c r="C45" s="6">
        <f t="shared" si="37"/>
        <v>40800</v>
      </c>
      <c r="D45" s="6">
        <f t="shared" si="37"/>
        <v>41616</v>
      </c>
      <c r="E45" s="6">
        <f t="shared" si="37"/>
        <v>42448.32</v>
      </c>
      <c r="F45" s="6">
        <f t="shared" si="37"/>
        <v>43297.286399999997</v>
      </c>
      <c r="G45" s="6">
        <f t="shared" si="37"/>
        <v>44163.232127999996</v>
      </c>
      <c r="H45" s="13"/>
      <c r="I45" s="6">
        <f>M4</f>
        <v>18000</v>
      </c>
      <c r="J45" s="6">
        <f t="shared" si="38"/>
        <v>18540</v>
      </c>
      <c r="K45" s="6">
        <f t="shared" si="38"/>
        <v>19096.2</v>
      </c>
      <c r="L45" s="6">
        <f t="shared" si="38"/>
        <v>19669.086000000003</v>
      </c>
      <c r="M45" s="6">
        <f t="shared" si="38"/>
        <v>20259.158580000003</v>
      </c>
      <c r="N45" s="6">
        <f t="shared" si="38"/>
        <v>20866.933337400005</v>
      </c>
      <c r="O45" s="13"/>
      <c r="P45" s="13"/>
      <c r="Q45" s="13"/>
      <c r="R45" s="13"/>
      <c r="S45" s="13"/>
      <c r="T45" s="13"/>
      <c r="U45" s="13"/>
      <c r="V45" s="13"/>
    </row>
    <row r="46" spans="1:22" x14ac:dyDescent="0.25">
      <c r="A46" s="10" t="str">
        <f>Summary!$E15</f>
        <v>Student Affairs</v>
      </c>
      <c r="B46" s="6">
        <f>F5</f>
        <v>40000</v>
      </c>
      <c r="C46" s="6">
        <f t="shared" si="37"/>
        <v>40800</v>
      </c>
      <c r="D46" s="6">
        <f t="shared" si="37"/>
        <v>41616</v>
      </c>
      <c r="E46" s="6">
        <f t="shared" si="37"/>
        <v>42448.32</v>
      </c>
      <c r="F46" s="6">
        <f t="shared" si="37"/>
        <v>43297.286399999997</v>
      </c>
      <c r="G46" s="6">
        <f t="shared" si="37"/>
        <v>44163.232127999996</v>
      </c>
      <c r="H46" s="13"/>
      <c r="I46" s="6">
        <f>M5</f>
        <v>18000</v>
      </c>
      <c r="J46" s="6">
        <f t="shared" si="38"/>
        <v>18540</v>
      </c>
      <c r="K46" s="6">
        <f t="shared" si="38"/>
        <v>19096.2</v>
      </c>
      <c r="L46" s="6">
        <f t="shared" si="38"/>
        <v>19669.086000000003</v>
      </c>
      <c r="M46" s="6">
        <f t="shared" si="38"/>
        <v>20259.158580000003</v>
      </c>
      <c r="N46" s="6">
        <f t="shared" si="38"/>
        <v>20866.933337400005</v>
      </c>
      <c r="O46" s="13"/>
      <c r="P46" s="13"/>
      <c r="Q46" s="13"/>
      <c r="R46" s="13"/>
      <c r="S46" s="13"/>
      <c r="T46" s="13"/>
      <c r="U46" s="13"/>
      <c r="V46" s="13"/>
    </row>
    <row r="47" spans="1:22" x14ac:dyDescent="0.25">
      <c r="A47" s="10" t="str">
        <f>Summary!$E16</f>
        <v>Administrative Support</v>
      </c>
      <c r="B47" s="6">
        <f>F6</f>
        <v>40000</v>
      </c>
      <c r="C47" s="6">
        <f t="shared" si="37"/>
        <v>40800</v>
      </c>
      <c r="D47" s="6">
        <f t="shared" si="37"/>
        <v>41616</v>
      </c>
      <c r="E47" s="6">
        <f t="shared" si="37"/>
        <v>42448.32</v>
      </c>
      <c r="F47" s="6">
        <f t="shared" si="37"/>
        <v>43297.286399999997</v>
      </c>
      <c r="G47" s="6">
        <f t="shared" si="37"/>
        <v>44163.232127999996</v>
      </c>
      <c r="H47" s="13"/>
      <c r="I47" s="6">
        <f>M6</f>
        <v>18000</v>
      </c>
      <c r="J47" s="6">
        <f t="shared" si="38"/>
        <v>18540</v>
      </c>
      <c r="K47" s="6">
        <f t="shared" si="38"/>
        <v>19096.2</v>
      </c>
      <c r="L47" s="6">
        <f t="shared" si="38"/>
        <v>19669.086000000003</v>
      </c>
      <c r="M47" s="6">
        <f t="shared" si="38"/>
        <v>20259.158580000003</v>
      </c>
      <c r="N47" s="6">
        <f t="shared" si="38"/>
        <v>20866.933337400005</v>
      </c>
      <c r="O47" s="13"/>
      <c r="P47" s="13"/>
      <c r="Q47" s="13"/>
      <c r="R47" s="13"/>
      <c r="S47" s="13"/>
      <c r="T47" s="13"/>
      <c r="U47" s="13"/>
      <c r="V47" s="13"/>
    </row>
    <row r="48" spans="1:22" x14ac:dyDescent="0.25">
      <c r="A48" s="10" t="str">
        <f>Summary!$E17</f>
        <v>Plant Operations</v>
      </c>
      <c r="B48" s="6">
        <f>F7</f>
        <v>40000</v>
      </c>
      <c r="C48" s="6">
        <f t="shared" si="37"/>
        <v>40800</v>
      </c>
      <c r="D48" s="6">
        <f t="shared" si="37"/>
        <v>41616</v>
      </c>
      <c r="E48" s="6">
        <f t="shared" si="37"/>
        <v>42448.32</v>
      </c>
      <c r="F48" s="6">
        <f t="shared" si="37"/>
        <v>43297.286399999997</v>
      </c>
      <c r="G48" s="6">
        <f t="shared" si="37"/>
        <v>44163.232127999996</v>
      </c>
      <c r="H48" s="13"/>
      <c r="I48" s="6">
        <f>M7</f>
        <v>18000</v>
      </c>
      <c r="J48" s="6">
        <f t="shared" si="38"/>
        <v>18540</v>
      </c>
      <c r="K48" s="6">
        <f t="shared" si="38"/>
        <v>19096.2</v>
      </c>
      <c r="L48" s="6">
        <f t="shared" si="38"/>
        <v>19669.086000000003</v>
      </c>
      <c r="M48" s="6">
        <f t="shared" si="38"/>
        <v>20259.158580000003</v>
      </c>
      <c r="N48" s="6">
        <f t="shared" si="38"/>
        <v>20866.933337400005</v>
      </c>
      <c r="O48" s="13"/>
      <c r="P48" s="13"/>
      <c r="Q48" s="13"/>
      <c r="R48" s="13"/>
      <c r="S48" s="13"/>
      <c r="T48" s="13"/>
      <c r="U48" s="13"/>
      <c r="V48" s="13"/>
    </row>
    <row r="49" spans="1:22" x14ac:dyDescent="0.25">
      <c r="A49" s="83"/>
      <c r="B49" s="16"/>
      <c r="C49" s="16"/>
      <c r="D49" s="16"/>
      <c r="E49" s="16"/>
      <c r="F49" s="16"/>
      <c r="G49" s="16"/>
      <c r="H49" s="13"/>
      <c r="I49" s="16"/>
      <c r="J49" s="16"/>
      <c r="K49" s="16"/>
      <c r="L49" s="16"/>
      <c r="M49" s="16"/>
      <c r="N49" s="16"/>
      <c r="O49" s="13"/>
      <c r="P49" s="13"/>
      <c r="Q49" s="13"/>
      <c r="R49" s="13"/>
      <c r="S49" s="13"/>
      <c r="T49" s="13"/>
      <c r="U49" s="13"/>
      <c r="V49" s="13"/>
    </row>
    <row r="50" spans="1:22" x14ac:dyDescent="0.25">
      <c r="A50" s="83"/>
      <c r="B50" s="13"/>
      <c r="C50" s="13"/>
      <c r="D50" s="13"/>
      <c r="E50" s="151" t="s">
        <v>63</v>
      </c>
      <c r="F50" s="13"/>
      <c r="G50" s="13"/>
      <c r="H50" s="13"/>
      <c r="I50" s="13"/>
      <c r="J50" s="13"/>
      <c r="K50" s="13"/>
      <c r="L50" s="152" t="s">
        <v>49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</row>
    <row r="51" spans="1:22" x14ac:dyDescent="0.25">
      <c r="A51" s="20" t="s">
        <v>73</v>
      </c>
      <c r="B51" s="132">
        <f>Summary!$B$29+1</f>
        <v>2022</v>
      </c>
      <c r="C51" s="132">
        <f>B51+1</f>
        <v>2023</v>
      </c>
      <c r="D51" s="132">
        <f t="shared" ref="D51:F51" si="39">C51+1</f>
        <v>2024</v>
      </c>
      <c r="E51" s="132">
        <f t="shared" si="39"/>
        <v>2025</v>
      </c>
      <c r="F51" s="132">
        <f t="shared" si="39"/>
        <v>2026</v>
      </c>
      <c r="G51" s="132">
        <f>F51+1</f>
        <v>2027</v>
      </c>
      <c r="H51" s="13"/>
      <c r="I51" s="132">
        <f>Summary!$B$29+1</f>
        <v>2022</v>
      </c>
      <c r="J51" s="132">
        <f>I51+1</f>
        <v>2023</v>
      </c>
      <c r="K51" s="132">
        <f t="shared" ref="K51" si="40">J51+1</f>
        <v>2024</v>
      </c>
      <c r="L51" s="132">
        <f t="shared" ref="L51" si="41">K51+1</f>
        <v>2025</v>
      </c>
      <c r="M51" s="132">
        <f t="shared" ref="M51" si="42">L51+1</f>
        <v>2026</v>
      </c>
      <c r="N51" s="132">
        <f>M51+1</f>
        <v>2027</v>
      </c>
      <c r="O51" s="13"/>
      <c r="P51" s="13"/>
      <c r="Q51" s="13"/>
      <c r="R51" s="13"/>
      <c r="S51" s="13"/>
      <c r="T51" s="13"/>
      <c r="U51" s="13"/>
      <c r="V51" s="13"/>
    </row>
    <row r="52" spans="1:22" x14ac:dyDescent="0.25">
      <c r="A52" s="10" t="str">
        <f>Summary!$E13</f>
        <v>Instruction</v>
      </c>
      <c r="B52" s="6">
        <f t="shared" ref="B52:G52" si="43">B23*B40+B28*B44</f>
        <v>11600000</v>
      </c>
      <c r="C52" s="6">
        <f t="shared" si="43"/>
        <v>11547913.043478262</v>
      </c>
      <c r="D52" s="6">
        <f t="shared" si="43"/>
        <v>11482766.608695652</v>
      </c>
      <c r="E52" s="6">
        <f t="shared" si="43"/>
        <v>11404425.213167703</v>
      </c>
      <c r="F52" s="6">
        <f t="shared" si="43"/>
        <v>11716741.979575157</v>
      </c>
      <c r="G52" s="6">
        <f t="shared" si="43"/>
        <v>11203374.443701642</v>
      </c>
      <c r="H52" s="13"/>
      <c r="I52" s="6">
        <f>I23*I40+I28*I44</f>
        <v>390000</v>
      </c>
      <c r="J52" s="6">
        <f t="shared" ref="J52:N52" si="44">J23*J40+J28*J44</f>
        <v>523240</v>
      </c>
      <c r="K52" s="6">
        <f t="shared" si="44"/>
        <v>664123.4</v>
      </c>
      <c r="L52" s="6">
        <f t="shared" si="44"/>
        <v>813086.0192888889</v>
      </c>
      <c r="M52" s="6">
        <f t="shared" si="44"/>
        <v>970388.68467511097</v>
      </c>
      <c r="N52" s="6">
        <f t="shared" si="44"/>
        <v>1136397.7325671467</v>
      </c>
      <c r="O52" s="13"/>
      <c r="P52" s="13"/>
      <c r="Q52" s="13"/>
      <c r="R52" s="13"/>
      <c r="S52" s="13"/>
      <c r="T52" s="13"/>
      <c r="U52" s="13"/>
      <c r="V52" s="13"/>
    </row>
    <row r="53" spans="1:22" x14ac:dyDescent="0.25">
      <c r="A53" s="10" t="str">
        <f>Summary!$E14</f>
        <v>Academic Support</v>
      </c>
      <c r="B53" s="6">
        <f>B24*B41+B29*B45</f>
        <v>1450000</v>
      </c>
      <c r="C53" s="6">
        <f t="shared" ref="C53:G53" si="45">C24*C41+C29*C45</f>
        <v>1456891.3043478262</v>
      </c>
      <c r="D53" s="6">
        <f t="shared" si="45"/>
        <v>1463523.2608695654</v>
      </c>
      <c r="E53" s="6">
        <f t="shared" si="45"/>
        <v>1470625.6164596276</v>
      </c>
      <c r="F53" s="6">
        <f t="shared" si="45"/>
        <v>1477474.3974689443</v>
      </c>
      <c r="G53" s="6">
        <f t="shared" si="45"/>
        <v>1484058.0521870498</v>
      </c>
      <c r="H53" s="13"/>
      <c r="I53" s="6">
        <f>I24*I41+I29*I45</f>
        <v>180000</v>
      </c>
      <c r="J53" s="6">
        <f t="shared" ref="J53:N53" si="46">J24*J41+J29*J45</f>
        <v>181280.00000000003</v>
      </c>
      <c r="K53" s="6">
        <f t="shared" si="46"/>
        <v>182474.80000000005</v>
      </c>
      <c r="L53" s="6">
        <f t="shared" si="46"/>
        <v>183772.39857777784</v>
      </c>
      <c r="M53" s="6">
        <f t="shared" si="46"/>
        <v>184983.62575022227</v>
      </c>
      <c r="N53" s="6">
        <f t="shared" si="46"/>
        <v>186102.13139429339</v>
      </c>
      <c r="O53" s="13"/>
      <c r="P53" s="13"/>
      <c r="Q53" s="13"/>
      <c r="R53" s="13"/>
      <c r="S53" s="13"/>
      <c r="T53" s="13"/>
      <c r="U53" s="13"/>
      <c r="V53" s="13"/>
    </row>
    <row r="54" spans="1:22" x14ac:dyDescent="0.25">
      <c r="A54" s="10" t="str">
        <f>Summary!$E15</f>
        <v>Student Affairs</v>
      </c>
      <c r="B54" s="6">
        <f t="shared" ref="B54:G56" si="47">B30*B46</f>
        <v>1200000</v>
      </c>
      <c r="C54" s="6">
        <f t="shared" si="47"/>
        <v>1192069.5652173914</v>
      </c>
      <c r="D54" s="6">
        <f t="shared" si="47"/>
        <v>1308189.9130434785</v>
      </c>
      <c r="E54" s="6">
        <f t="shared" si="47"/>
        <v>1298612.0940372671</v>
      </c>
      <c r="F54" s="6">
        <f t="shared" si="47"/>
        <v>1288127.8863055902</v>
      </c>
      <c r="G54" s="6">
        <f t="shared" si="47"/>
        <v>1276704.8654270309</v>
      </c>
      <c r="H54" s="13"/>
      <c r="I54" s="6">
        <f t="shared" ref="I54:N56" si="48">I30*I46</f>
        <v>360000</v>
      </c>
      <c r="J54" s="6">
        <f t="shared" si="48"/>
        <v>362560.00000000006</v>
      </c>
      <c r="K54" s="6">
        <f t="shared" si="48"/>
        <v>364949.60000000009</v>
      </c>
      <c r="L54" s="6">
        <f t="shared" si="48"/>
        <v>367544.79715555569</v>
      </c>
      <c r="M54" s="6">
        <f t="shared" si="48"/>
        <v>369967.25150044454</v>
      </c>
      <c r="N54" s="6">
        <f t="shared" si="48"/>
        <v>372204.26278858678</v>
      </c>
      <c r="O54" s="13"/>
      <c r="P54" s="13"/>
      <c r="Q54" s="13"/>
      <c r="R54" s="13"/>
      <c r="S54" s="13"/>
      <c r="T54" s="13"/>
      <c r="U54" s="13"/>
      <c r="V54" s="13"/>
    </row>
    <row r="55" spans="1:22" x14ac:dyDescent="0.25">
      <c r="A55" s="10" t="str">
        <f>Summary!$E16</f>
        <v>Administrative Support</v>
      </c>
      <c r="B55" s="6">
        <f t="shared" si="47"/>
        <v>800000</v>
      </c>
      <c r="C55" s="6">
        <f t="shared" si="47"/>
        <v>794713.04347826086</v>
      </c>
      <c r="D55" s="6">
        <f t="shared" si="47"/>
        <v>788894.60869565222</v>
      </c>
      <c r="E55" s="6">
        <f t="shared" si="47"/>
        <v>783118.77316770202</v>
      </c>
      <c r="F55" s="6">
        <f t="shared" si="47"/>
        <v>776796.3463751555</v>
      </c>
      <c r="G55" s="6">
        <f t="shared" si="47"/>
        <v>769907.77500163997</v>
      </c>
      <c r="H55" s="13"/>
      <c r="I55" s="6">
        <f t="shared" si="48"/>
        <v>90000</v>
      </c>
      <c r="J55" s="6">
        <f t="shared" si="48"/>
        <v>90640.000000000015</v>
      </c>
      <c r="K55" s="6">
        <f t="shared" si="48"/>
        <v>91237.400000000023</v>
      </c>
      <c r="L55" s="6">
        <f t="shared" si="48"/>
        <v>91886.199288888922</v>
      </c>
      <c r="M55" s="6">
        <f t="shared" si="48"/>
        <v>92491.812875111136</v>
      </c>
      <c r="N55" s="6">
        <f t="shared" si="48"/>
        <v>93051.065697146696</v>
      </c>
      <c r="O55" s="13"/>
      <c r="P55" s="13"/>
      <c r="Q55" s="13"/>
      <c r="R55" s="13"/>
      <c r="S55" s="13"/>
      <c r="T55" s="13"/>
      <c r="U55" s="13"/>
      <c r="V55" s="13"/>
    </row>
    <row r="56" spans="1:22" x14ac:dyDescent="0.25">
      <c r="A56" s="10" t="str">
        <f>Summary!$E17</f>
        <v>Plant Operations</v>
      </c>
      <c r="B56" s="6">
        <f t="shared" si="47"/>
        <v>800000</v>
      </c>
      <c r="C56" s="6">
        <f t="shared" si="47"/>
        <v>794713.04347826086</v>
      </c>
      <c r="D56" s="6">
        <f t="shared" si="47"/>
        <v>788894.60869565222</v>
      </c>
      <c r="E56" s="6">
        <f t="shared" si="47"/>
        <v>783118.77316770202</v>
      </c>
      <c r="F56" s="6">
        <f t="shared" si="47"/>
        <v>776796.3463751555</v>
      </c>
      <c r="G56" s="6">
        <f t="shared" si="47"/>
        <v>769907.77500163997</v>
      </c>
      <c r="H56" s="13"/>
      <c r="I56" s="6">
        <f t="shared" si="48"/>
        <v>90000</v>
      </c>
      <c r="J56" s="6">
        <f t="shared" si="48"/>
        <v>90640.000000000015</v>
      </c>
      <c r="K56" s="6">
        <f t="shared" si="48"/>
        <v>129429.80000000002</v>
      </c>
      <c r="L56" s="6">
        <f t="shared" si="48"/>
        <v>130350.18968888893</v>
      </c>
      <c r="M56" s="6">
        <f t="shared" si="48"/>
        <v>131209.31593911114</v>
      </c>
      <c r="N56" s="6">
        <f t="shared" si="48"/>
        <v>132002.67459362673</v>
      </c>
      <c r="O56" s="13"/>
      <c r="P56" s="13"/>
      <c r="Q56" s="13"/>
      <c r="R56" s="13"/>
      <c r="S56" s="13"/>
      <c r="T56" s="13"/>
      <c r="U56" s="13"/>
      <c r="V56" s="13"/>
    </row>
    <row r="57" spans="1:22" x14ac:dyDescent="0.25">
      <c r="A57" s="83"/>
      <c r="B57" s="16"/>
      <c r="C57" s="16"/>
      <c r="D57" s="16"/>
      <c r="E57" s="16"/>
      <c r="F57" s="16"/>
      <c r="G57" s="16"/>
      <c r="H57" s="13"/>
      <c r="I57" s="16"/>
      <c r="J57" s="16"/>
      <c r="K57" s="16"/>
      <c r="L57" s="16"/>
      <c r="M57" s="16"/>
      <c r="N57" s="16"/>
      <c r="O57" s="13"/>
      <c r="P57" s="13"/>
      <c r="Q57" s="13"/>
      <c r="R57" s="13"/>
      <c r="S57" s="13"/>
      <c r="T57" s="13"/>
      <c r="U57" s="13"/>
      <c r="V57" s="13"/>
    </row>
    <row r="58" spans="1:22" x14ac:dyDescent="0.25">
      <c r="A58" s="83"/>
      <c r="B58" s="13"/>
      <c r="C58" s="13"/>
      <c r="D58" s="13"/>
      <c r="E58" s="151" t="s">
        <v>63</v>
      </c>
      <c r="F58" s="13"/>
      <c r="G58" s="8"/>
      <c r="H58" s="12" t="s">
        <v>41</v>
      </c>
      <c r="I58" s="8"/>
      <c r="J58" s="13"/>
      <c r="K58" s="13"/>
      <c r="L58" s="152" t="s">
        <v>49</v>
      </c>
      <c r="M58" s="13"/>
      <c r="N58" s="8"/>
      <c r="O58" s="12" t="s">
        <v>41</v>
      </c>
      <c r="P58" s="8"/>
      <c r="Q58" s="13"/>
      <c r="R58" s="13"/>
      <c r="S58" s="13"/>
      <c r="T58" s="13"/>
      <c r="U58" s="13"/>
      <c r="V58" s="13"/>
    </row>
    <row r="59" spans="1:22" x14ac:dyDescent="0.25">
      <c r="A59" s="20" t="s">
        <v>74</v>
      </c>
      <c r="B59" s="132">
        <f>Summary!$B$29+1</f>
        <v>2022</v>
      </c>
      <c r="C59" s="132">
        <f>B59+1</f>
        <v>2023</v>
      </c>
      <c r="D59" s="132">
        <f t="shared" ref="D59:G59" si="49">C59+1</f>
        <v>2024</v>
      </c>
      <c r="E59" s="132">
        <f t="shared" si="49"/>
        <v>2025</v>
      </c>
      <c r="F59" s="132">
        <f t="shared" si="49"/>
        <v>2026</v>
      </c>
      <c r="G59" s="132">
        <f t="shared" si="49"/>
        <v>2027</v>
      </c>
      <c r="H59" s="156">
        <f>Summary!B26</f>
        <v>0.02</v>
      </c>
      <c r="I59" s="132">
        <f>Summary!$B$29+1</f>
        <v>2022</v>
      </c>
      <c r="J59" s="132">
        <f>I59+1</f>
        <v>2023</v>
      </c>
      <c r="K59" s="132">
        <f t="shared" ref="K59" si="50">J59+1</f>
        <v>2024</v>
      </c>
      <c r="L59" s="132">
        <f t="shared" ref="L59" si="51">K59+1</f>
        <v>2025</v>
      </c>
      <c r="M59" s="132">
        <f t="shared" ref="M59" si="52">L59+1</f>
        <v>2026</v>
      </c>
      <c r="N59" s="132">
        <f t="shared" ref="N59" si="53">M59+1</f>
        <v>2027</v>
      </c>
      <c r="O59" s="156">
        <f>Summary!B27</f>
        <v>0</v>
      </c>
      <c r="P59" s="13"/>
      <c r="Q59" s="13"/>
      <c r="R59" s="13"/>
      <c r="S59" s="13"/>
      <c r="T59" s="13"/>
      <c r="U59" s="13"/>
      <c r="V59" s="13"/>
    </row>
    <row r="60" spans="1:22" x14ac:dyDescent="0.25">
      <c r="A60" s="10" t="s">
        <v>43</v>
      </c>
      <c r="B60" s="17">
        <f>D3</f>
        <v>0.45</v>
      </c>
      <c r="C60" s="15">
        <f>B60*(1+$H$59)</f>
        <v>0.45900000000000002</v>
      </c>
      <c r="D60" s="15">
        <f t="shared" ref="D60:G60" si="54">C60*(1+$H$59)</f>
        <v>0.46818000000000004</v>
      </c>
      <c r="E60" s="15">
        <f t="shared" si="54"/>
        <v>0.47754360000000007</v>
      </c>
      <c r="F60" s="15">
        <f t="shared" si="54"/>
        <v>0.48709447200000006</v>
      </c>
      <c r="G60" s="15">
        <f t="shared" si="54"/>
        <v>0.49683636144000004</v>
      </c>
      <c r="H60" s="13"/>
      <c r="I60" s="17">
        <f>K3</f>
        <v>0.1</v>
      </c>
      <c r="J60" s="15">
        <f>I60*(1+$O$59)</f>
        <v>0.1</v>
      </c>
      <c r="K60" s="15">
        <f t="shared" ref="K60:N60" si="55">J60*(1+$O$59)</f>
        <v>0.1</v>
      </c>
      <c r="L60" s="15">
        <f t="shared" si="55"/>
        <v>0.1</v>
      </c>
      <c r="M60" s="15">
        <f t="shared" si="55"/>
        <v>0.1</v>
      </c>
      <c r="N60" s="15">
        <f t="shared" si="55"/>
        <v>0.1</v>
      </c>
      <c r="O60" s="13"/>
      <c r="P60" s="13"/>
      <c r="Q60" s="13"/>
      <c r="R60" s="13"/>
      <c r="S60" s="13"/>
      <c r="T60" s="13"/>
      <c r="U60" s="13"/>
      <c r="V60" s="13"/>
    </row>
    <row r="61" spans="1:22" x14ac:dyDescent="0.25">
      <c r="A61" s="10" t="s">
        <v>44</v>
      </c>
      <c r="B61" s="17">
        <f>G3</f>
        <v>0.45</v>
      </c>
      <c r="C61" s="15">
        <f t="shared" ref="C61:G65" si="56">B61*(1+$H$59)</f>
        <v>0.45900000000000002</v>
      </c>
      <c r="D61" s="15">
        <f t="shared" si="56"/>
        <v>0.46818000000000004</v>
      </c>
      <c r="E61" s="15">
        <f t="shared" si="56"/>
        <v>0.47754360000000007</v>
      </c>
      <c r="F61" s="15">
        <f t="shared" si="56"/>
        <v>0.48709447200000006</v>
      </c>
      <c r="G61" s="15">
        <f t="shared" si="56"/>
        <v>0.49683636144000004</v>
      </c>
      <c r="H61" s="13"/>
      <c r="I61" s="17">
        <f>N3</f>
        <v>0.1</v>
      </c>
      <c r="J61" s="15">
        <f t="shared" ref="J61:N61" si="57">I61*(1+$O$59)</f>
        <v>0.1</v>
      </c>
      <c r="K61" s="15">
        <f t="shared" si="57"/>
        <v>0.1</v>
      </c>
      <c r="L61" s="15">
        <f t="shared" si="57"/>
        <v>0.1</v>
      </c>
      <c r="M61" s="15">
        <f t="shared" si="57"/>
        <v>0.1</v>
      </c>
      <c r="N61" s="15">
        <f t="shared" si="57"/>
        <v>0.1</v>
      </c>
      <c r="O61" s="13"/>
      <c r="P61" s="13"/>
      <c r="Q61" s="13"/>
      <c r="R61" s="13"/>
      <c r="S61" s="13"/>
      <c r="T61" s="13"/>
      <c r="U61" s="13"/>
      <c r="V61" s="13"/>
    </row>
    <row r="62" spans="1:22" x14ac:dyDescent="0.25">
      <c r="A62" s="10" t="str">
        <f>Summary!$E14</f>
        <v>Academic Support</v>
      </c>
      <c r="B62" s="17">
        <f>G4</f>
        <v>0.45</v>
      </c>
      <c r="C62" s="15">
        <f t="shared" si="56"/>
        <v>0.45900000000000002</v>
      </c>
      <c r="D62" s="15">
        <f t="shared" si="56"/>
        <v>0.46818000000000004</v>
      </c>
      <c r="E62" s="15">
        <f t="shared" si="56"/>
        <v>0.47754360000000007</v>
      </c>
      <c r="F62" s="15">
        <f t="shared" si="56"/>
        <v>0.48709447200000006</v>
      </c>
      <c r="G62" s="15">
        <f t="shared" si="56"/>
        <v>0.49683636144000004</v>
      </c>
      <c r="H62" s="13"/>
      <c r="I62" s="17">
        <f>N4</f>
        <v>0.1</v>
      </c>
      <c r="J62" s="15">
        <f t="shared" ref="J62:N62" si="58">I62*(1+$O$59)</f>
        <v>0.1</v>
      </c>
      <c r="K62" s="15">
        <f t="shared" si="58"/>
        <v>0.1</v>
      </c>
      <c r="L62" s="15">
        <f t="shared" si="58"/>
        <v>0.1</v>
      </c>
      <c r="M62" s="15">
        <f t="shared" si="58"/>
        <v>0.1</v>
      </c>
      <c r="N62" s="15">
        <f t="shared" si="58"/>
        <v>0.1</v>
      </c>
      <c r="O62" s="13"/>
      <c r="P62" s="13"/>
      <c r="Q62" s="13"/>
      <c r="R62" s="13"/>
      <c r="S62" s="13"/>
      <c r="T62" s="13"/>
      <c r="U62" s="13"/>
      <c r="V62" s="13"/>
    </row>
    <row r="63" spans="1:22" x14ac:dyDescent="0.25">
      <c r="A63" s="10" t="str">
        <f>Summary!$E15</f>
        <v>Student Affairs</v>
      </c>
      <c r="B63" s="17">
        <f>G5</f>
        <v>0.45</v>
      </c>
      <c r="C63" s="15">
        <f t="shared" si="56"/>
        <v>0.45900000000000002</v>
      </c>
      <c r="D63" s="15">
        <f t="shared" si="56"/>
        <v>0.46818000000000004</v>
      </c>
      <c r="E63" s="15">
        <f t="shared" si="56"/>
        <v>0.47754360000000007</v>
      </c>
      <c r="F63" s="15">
        <f t="shared" si="56"/>
        <v>0.48709447200000006</v>
      </c>
      <c r="G63" s="15">
        <f t="shared" si="56"/>
        <v>0.49683636144000004</v>
      </c>
      <c r="H63" s="13"/>
      <c r="I63" s="17">
        <f>N5</f>
        <v>0.1</v>
      </c>
      <c r="J63" s="15">
        <f t="shared" ref="J63:N63" si="59">I63*(1+$O$59)</f>
        <v>0.1</v>
      </c>
      <c r="K63" s="15">
        <f t="shared" si="59"/>
        <v>0.1</v>
      </c>
      <c r="L63" s="15">
        <f t="shared" si="59"/>
        <v>0.1</v>
      </c>
      <c r="M63" s="15">
        <f t="shared" si="59"/>
        <v>0.1</v>
      </c>
      <c r="N63" s="15">
        <f t="shared" si="59"/>
        <v>0.1</v>
      </c>
      <c r="O63" s="13"/>
      <c r="P63" s="13"/>
      <c r="Q63" s="13"/>
      <c r="R63" s="13"/>
      <c r="S63" s="13"/>
      <c r="T63" s="13"/>
      <c r="U63" s="13"/>
      <c r="V63" s="13"/>
    </row>
    <row r="64" spans="1:22" x14ac:dyDescent="0.25">
      <c r="A64" s="10" t="str">
        <f>Summary!$E16</f>
        <v>Administrative Support</v>
      </c>
      <c r="B64" s="17">
        <f>G6</f>
        <v>0.45</v>
      </c>
      <c r="C64" s="15">
        <f t="shared" si="56"/>
        <v>0.45900000000000002</v>
      </c>
      <c r="D64" s="15">
        <f t="shared" si="56"/>
        <v>0.46818000000000004</v>
      </c>
      <c r="E64" s="15">
        <f t="shared" si="56"/>
        <v>0.47754360000000007</v>
      </c>
      <c r="F64" s="15">
        <f t="shared" si="56"/>
        <v>0.48709447200000006</v>
      </c>
      <c r="G64" s="15">
        <f t="shared" si="56"/>
        <v>0.49683636144000004</v>
      </c>
      <c r="H64" s="13"/>
      <c r="I64" s="17">
        <f>N6</f>
        <v>0.1</v>
      </c>
      <c r="J64" s="15">
        <f t="shared" ref="J64:N64" si="60">I64*(1+$O$59)</f>
        <v>0.1</v>
      </c>
      <c r="K64" s="15">
        <f t="shared" si="60"/>
        <v>0.1</v>
      </c>
      <c r="L64" s="15">
        <f t="shared" si="60"/>
        <v>0.1</v>
      </c>
      <c r="M64" s="15">
        <f t="shared" si="60"/>
        <v>0.1</v>
      </c>
      <c r="N64" s="15">
        <f t="shared" si="60"/>
        <v>0.1</v>
      </c>
      <c r="O64" s="13"/>
      <c r="P64" s="13"/>
      <c r="Q64" s="13"/>
      <c r="R64" s="13"/>
      <c r="S64" s="13"/>
      <c r="T64" s="13"/>
      <c r="U64" s="13"/>
      <c r="V64" s="13"/>
    </row>
    <row r="65" spans="1:22" x14ac:dyDescent="0.25">
      <c r="A65" s="10" t="str">
        <f>Summary!$E17</f>
        <v>Plant Operations</v>
      </c>
      <c r="B65" s="17">
        <f>G7</f>
        <v>0.45</v>
      </c>
      <c r="C65" s="15">
        <f t="shared" si="56"/>
        <v>0.45900000000000002</v>
      </c>
      <c r="D65" s="15">
        <f t="shared" si="56"/>
        <v>0.46818000000000004</v>
      </c>
      <c r="E65" s="15">
        <f t="shared" si="56"/>
        <v>0.47754360000000007</v>
      </c>
      <c r="F65" s="15">
        <f t="shared" si="56"/>
        <v>0.48709447200000006</v>
      </c>
      <c r="G65" s="15">
        <f t="shared" si="56"/>
        <v>0.49683636144000004</v>
      </c>
      <c r="H65" s="13"/>
      <c r="I65" s="17">
        <f>N7</f>
        <v>0.1</v>
      </c>
      <c r="J65" s="15">
        <f t="shared" ref="J65:N65" si="61">I65*(1+$O$59)</f>
        <v>0.1</v>
      </c>
      <c r="K65" s="15">
        <f t="shared" si="61"/>
        <v>0.1</v>
      </c>
      <c r="L65" s="15">
        <f t="shared" si="61"/>
        <v>0.1</v>
      </c>
      <c r="M65" s="15">
        <f t="shared" si="61"/>
        <v>0.1</v>
      </c>
      <c r="N65" s="15">
        <f t="shared" si="61"/>
        <v>0.1</v>
      </c>
      <c r="O65" s="13"/>
      <c r="P65" s="13"/>
      <c r="Q65" s="13"/>
      <c r="R65" s="13"/>
      <c r="S65" s="13"/>
      <c r="T65" s="13"/>
      <c r="U65" s="13"/>
      <c r="V65" s="13"/>
    </row>
    <row r="66" spans="1:22" x14ac:dyDescent="0.25">
      <c r="A66" s="8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</row>
    <row r="67" spans="1:22" x14ac:dyDescent="0.25">
      <c r="A67" s="20" t="s">
        <v>22</v>
      </c>
      <c r="B67" s="132">
        <f>Summary!$B$29+1</f>
        <v>2022</v>
      </c>
      <c r="C67" s="132">
        <f>B67+1</f>
        <v>2023</v>
      </c>
      <c r="D67" s="132">
        <f t="shared" ref="D67:F67" si="62">C67+1</f>
        <v>2024</v>
      </c>
      <c r="E67" s="132">
        <f t="shared" si="62"/>
        <v>2025</v>
      </c>
      <c r="F67" s="132">
        <f t="shared" si="62"/>
        <v>2026</v>
      </c>
      <c r="G67" s="132">
        <f>F67+1</f>
        <v>2027</v>
      </c>
      <c r="H67" s="13"/>
      <c r="I67" s="132">
        <f>Summary!$B$29+1</f>
        <v>2022</v>
      </c>
      <c r="J67" s="132">
        <f>I67+1</f>
        <v>2023</v>
      </c>
      <c r="K67" s="132">
        <f t="shared" ref="K67" si="63">J67+1</f>
        <v>2024</v>
      </c>
      <c r="L67" s="132">
        <f t="shared" ref="L67" si="64">K67+1</f>
        <v>2025</v>
      </c>
      <c r="M67" s="132">
        <f t="shared" ref="M67" si="65">L67+1</f>
        <v>2026</v>
      </c>
      <c r="N67" s="132">
        <f>M67+1</f>
        <v>2027</v>
      </c>
      <c r="O67" s="13"/>
      <c r="P67" s="13"/>
      <c r="Q67" s="13"/>
      <c r="R67" s="13"/>
      <c r="S67" s="13"/>
      <c r="T67" s="13"/>
      <c r="U67" s="13"/>
      <c r="V67" s="13"/>
    </row>
    <row r="68" spans="1:22" x14ac:dyDescent="0.25">
      <c r="A68" s="10" t="str">
        <f>Summary!$E13</f>
        <v>Instruction</v>
      </c>
      <c r="B68" s="4">
        <f t="shared" ref="B68:G68" si="66">B60*B23*B40+B61*B28*B44</f>
        <v>5220000</v>
      </c>
      <c r="C68" s="4">
        <f t="shared" si="66"/>
        <v>5300492.0869565215</v>
      </c>
      <c r="D68" s="4">
        <f t="shared" si="66"/>
        <v>5376001.670859131</v>
      </c>
      <c r="E68" s="4">
        <f t="shared" si="66"/>
        <v>5446110.2722268738</v>
      </c>
      <c r="F68" s="4">
        <f t="shared" si="66"/>
        <v>5707160.2481013965</v>
      </c>
      <c r="G68" s="4">
        <f t="shared" si="66"/>
        <v>5566243.7944586091</v>
      </c>
      <c r="H68" s="13"/>
      <c r="I68" s="4">
        <f t="shared" ref="I68:N68" si="67">I60*I23*I40+I61*I28*I44</f>
        <v>39000</v>
      </c>
      <c r="J68" s="4">
        <f t="shared" si="67"/>
        <v>52324.000000000007</v>
      </c>
      <c r="K68" s="4">
        <f t="shared" si="67"/>
        <v>66412.34</v>
      </c>
      <c r="L68" s="4">
        <f t="shared" si="67"/>
        <v>81308.601928888893</v>
      </c>
      <c r="M68" s="4">
        <f t="shared" si="67"/>
        <v>97038.868467511114</v>
      </c>
      <c r="N68" s="4">
        <f t="shared" si="67"/>
        <v>113639.77325671466</v>
      </c>
      <c r="O68" s="13"/>
      <c r="P68" s="13"/>
      <c r="Q68" s="13"/>
      <c r="R68" s="13"/>
      <c r="S68" s="13"/>
      <c r="T68" s="13"/>
      <c r="U68" s="13"/>
      <c r="V68" s="13"/>
    </row>
    <row r="69" spans="1:22" x14ac:dyDescent="0.25">
      <c r="A69" s="10" t="str">
        <f>Summary!$E14</f>
        <v>Academic Support</v>
      </c>
      <c r="B69" s="6">
        <f>B62*B29*B45</f>
        <v>450000</v>
      </c>
      <c r="C69" s="6">
        <f t="shared" ref="C69:G69" si="68">C62*C29*C45</f>
        <v>455966.60869565222</v>
      </c>
      <c r="D69" s="6">
        <f t="shared" si="68"/>
        <v>461680.8473739131</v>
      </c>
      <c r="E69" s="6">
        <f t="shared" si="68"/>
        <v>467466.6977076098</v>
      </c>
      <c r="F69" s="6">
        <f t="shared" si="68"/>
        <v>472966.50773641927</v>
      </c>
      <c r="G69" s="6">
        <f t="shared" si="68"/>
        <v>478147.72197022621</v>
      </c>
      <c r="H69" s="13"/>
      <c r="I69" s="6">
        <f>I62*I29*I45</f>
        <v>18000</v>
      </c>
      <c r="J69" s="6">
        <f t="shared" ref="J69:N69" si="69">J62*J29*J45</f>
        <v>18128</v>
      </c>
      <c r="K69" s="6">
        <f t="shared" si="69"/>
        <v>18247.480000000003</v>
      </c>
      <c r="L69" s="6">
        <f t="shared" si="69"/>
        <v>18377.239857777782</v>
      </c>
      <c r="M69" s="6">
        <f t="shared" si="69"/>
        <v>18498.362575022227</v>
      </c>
      <c r="N69" s="6">
        <f t="shared" si="69"/>
        <v>18610.213139429343</v>
      </c>
      <c r="O69" s="13"/>
      <c r="P69" s="13"/>
      <c r="Q69" s="13"/>
      <c r="R69" s="13"/>
      <c r="S69" s="13"/>
      <c r="T69" s="13"/>
      <c r="U69" s="13"/>
      <c r="V69" s="13"/>
    </row>
    <row r="70" spans="1:22" x14ac:dyDescent="0.25">
      <c r="A70" s="10" t="str">
        <f>Summary!$E15</f>
        <v>Student Affairs</v>
      </c>
      <c r="B70" s="6">
        <f>B63*B30*B46</f>
        <v>540000</v>
      </c>
      <c r="C70" s="6">
        <f t="shared" ref="C70:G72" si="70">C63*C30*C46</f>
        <v>547159.93043478264</v>
      </c>
      <c r="D70" s="6">
        <f t="shared" si="70"/>
        <v>612468.35348869581</v>
      </c>
      <c r="E70" s="6">
        <f t="shared" si="70"/>
        <v>620143.89439009514</v>
      </c>
      <c r="F70" s="6">
        <f t="shared" si="70"/>
        <v>627439.97264849755</v>
      </c>
      <c r="G70" s="6">
        <f t="shared" si="70"/>
        <v>634313.39997151098</v>
      </c>
      <c r="H70" s="13"/>
      <c r="I70" s="6">
        <f>I63*I30*I46</f>
        <v>36000</v>
      </c>
      <c r="J70" s="6">
        <f t="shared" ref="J70:N72" si="71">J63*J30*J46</f>
        <v>36256</v>
      </c>
      <c r="K70" s="6">
        <f t="shared" si="71"/>
        <v>36494.960000000006</v>
      </c>
      <c r="L70" s="6">
        <f t="shared" si="71"/>
        <v>36754.479715555564</v>
      </c>
      <c r="M70" s="6">
        <f t="shared" si="71"/>
        <v>36996.725150044454</v>
      </c>
      <c r="N70" s="6">
        <f t="shared" si="71"/>
        <v>37220.426278858686</v>
      </c>
      <c r="O70" s="13"/>
      <c r="P70" s="13"/>
      <c r="Q70" s="13"/>
      <c r="R70" s="13"/>
      <c r="S70" s="13"/>
      <c r="T70" s="13"/>
      <c r="U70" s="13"/>
      <c r="V70" s="13"/>
    </row>
    <row r="71" spans="1:22" x14ac:dyDescent="0.25">
      <c r="A71" s="10" t="str">
        <f>Summary!$E16</f>
        <v>Administrative Support</v>
      </c>
      <c r="B71" s="6">
        <f>B64*B31*B47</f>
        <v>360000</v>
      </c>
      <c r="C71" s="6">
        <f t="shared" si="70"/>
        <v>364773.28695652174</v>
      </c>
      <c r="D71" s="6">
        <f t="shared" si="70"/>
        <v>369344.6778991305</v>
      </c>
      <c r="E71" s="6">
        <f t="shared" si="70"/>
        <v>373973.35816608788</v>
      </c>
      <c r="F71" s="6">
        <f t="shared" si="70"/>
        <v>378373.2061891355</v>
      </c>
      <c r="G71" s="6">
        <f t="shared" si="70"/>
        <v>382518.17757618107</v>
      </c>
      <c r="H71" s="13"/>
      <c r="I71" s="6">
        <f>I64*I31*I47</f>
        <v>9000</v>
      </c>
      <c r="J71" s="6">
        <f t="shared" si="71"/>
        <v>9064</v>
      </c>
      <c r="K71" s="6">
        <f t="shared" si="71"/>
        <v>9123.7400000000016</v>
      </c>
      <c r="L71" s="6">
        <f t="shared" si="71"/>
        <v>9188.6199288888911</v>
      </c>
      <c r="M71" s="6">
        <f t="shared" si="71"/>
        <v>9249.1812875111136</v>
      </c>
      <c r="N71" s="6">
        <f t="shared" si="71"/>
        <v>9305.1065697146714</v>
      </c>
      <c r="O71" s="13"/>
      <c r="P71" s="13"/>
      <c r="Q71" s="13"/>
      <c r="R71" s="13"/>
      <c r="S71" s="13"/>
      <c r="T71" s="13"/>
      <c r="U71" s="13"/>
      <c r="V71" s="13"/>
    </row>
    <row r="72" spans="1:22" x14ac:dyDescent="0.25">
      <c r="A72" s="10" t="str">
        <f>Summary!$E17</f>
        <v>Plant Operations</v>
      </c>
      <c r="B72" s="6">
        <f>B65*B32*B48</f>
        <v>360000</v>
      </c>
      <c r="C72" s="6">
        <f t="shared" si="70"/>
        <v>364773.28695652174</v>
      </c>
      <c r="D72" s="6">
        <f t="shared" si="70"/>
        <v>369344.6778991305</v>
      </c>
      <c r="E72" s="6">
        <f t="shared" si="70"/>
        <v>373973.35816608788</v>
      </c>
      <c r="F72" s="6">
        <f t="shared" si="70"/>
        <v>378373.2061891355</v>
      </c>
      <c r="G72" s="6">
        <f t="shared" si="70"/>
        <v>382518.17757618107</v>
      </c>
      <c r="H72" s="13"/>
      <c r="I72" s="6">
        <f>I65*I32*I48</f>
        <v>9000</v>
      </c>
      <c r="J72" s="6">
        <f t="shared" si="71"/>
        <v>9064</v>
      </c>
      <c r="K72" s="6">
        <f t="shared" si="71"/>
        <v>12942.980000000003</v>
      </c>
      <c r="L72" s="6">
        <f t="shared" si="71"/>
        <v>13035.018968888895</v>
      </c>
      <c r="M72" s="6">
        <f t="shared" si="71"/>
        <v>13120.931593911115</v>
      </c>
      <c r="N72" s="6">
        <f t="shared" si="71"/>
        <v>13200.267459362673</v>
      </c>
      <c r="O72" s="13"/>
      <c r="P72" s="13"/>
      <c r="Q72" s="13"/>
      <c r="R72" s="13"/>
      <c r="S72" s="13"/>
      <c r="T72" s="13"/>
      <c r="U72" s="13"/>
      <c r="V72" s="13"/>
    </row>
    <row r="73" spans="1:22" x14ac:dyDescent="0.25">
      <c r="A73" s="8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</row>
    <row r="74" spans="1:22" x14ac:dyDescent="0.25">
      <c r="A74" s="20" t="s">
        <v>78</v>
      </c>
      <c r="B74" s="132">
        <f>Summary!$B$29+1</f>
        <v>2022</v>
      </c>
      <c r="C74" s="7">
        <f>B74+1</f>
        <v>2023</v>
      </c>
      <c r="D74" s="7">
        <f>C74+1</f>
        <v>2024</v>
      </c>
      <c r="E74" s="7">
        <f>D74+1</f>
        <v>2025</v>
      </c>
      <c r="F74" s="7">
        <f>E74+1</f>
        <v>2026</v>
      </c>
      <c r="G74" s="7">
        <f>F74+1</f>
        <v>2027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</row>
    <row r="75" spans="1:22" x14ac:dyDescent="0.25">
      <c r="A75" s="10" t="str">
        <f>Summary!$E13</f>
        <v>Instruction</v>
      </c>
      <c r="B75" s="16"/>
      <c r="C75" s="26">
        <v>0</v>
      </c>
      <c r="D75" s="26">
        <v>50000</v>
      </c>
      <c r="E75" s="26">
        <v>0</v>
      </c>
      <c r="F75" s="26">
        <v>0</v>
      </c>
      <c r="G75" s="26">
        <v>0</v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</row>
    <row r="76" spans="1:22" x14ac:dyDescent="0.25">
      <c r="A76" s="10" t="str">
        <f>Summary!$E14</f>
        <v>Academic Support</v>
      </c>
      <c r="B76" s="16"/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</row>
    <row r="77" spans="1:22" x14ac:dyDescent="0.25">
      <c r="A77" s="10" t="str">
        <f>Summary!$E15</f>
        <v>Student Affairs</v>
      </c>
      <c r="B77" s="16"/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</row>
    <row r="78" spans="1:22" x14ac:dyDescent="0.25">
      <c r="A78" s="10" t="str">
        <f>Summary!$E16</f>
        <v>Administrative Support</v>
      </c>
      <c r="B78" s="16"/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</row>
    <row r="79" spans="1:22" x14ac:dyDescent="0.25">
      <c r="A79" s="10" t="str">
        <f>Summary!$E17</f>
        <v>Plant Operations</v>
      </c>
      <c r="B79" s="16"/>
      <c r="C79" s="26">
        <v>0</v>
      </c>
      <c r="D79" s="26">
        <v>0</v>
      </c>
      <c r="E79" s="26">
        <v>200000</v>
      </c>
      <c r="F79" s="26">
        <v>0</v>
      </c>
      <c r="G79" s="26">
        <v>0</v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</row>
    <row r="80" spans="1:22" x14ac:dyDescent="0.25">
      <c r="A80" s="8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</row>
    <row r="81" spans="1:22" x14ac:dyDescent="0.25">
      <c r="A81" s="83"/>
      <c r="B81" s="13"/>
      <c r="C81" s="13"/>
      <c r="D81" s="13"/>
      <c r="E81" s="13"/>
      <c r="F81" s="13"/>
      <c r="G81" s="8"/>
      <c r="H81" s="12" t="s">
        <v>45</v>
      </c>
      <c r="I81" s="8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</row>
    <row r="82" spans="1:22" x14ac:dyDescent="0.25">
      <c r="A82" s="20" t="s">
        <v>23</v>
      </c>
      <c r="B82" s="132">
        <f>Summary!$B$29+1</f>
        <v>2022</v>
      </c>
      <c r="C82" s="132">
        <f>B82+1</f>
        <v>2023</v>
      </c>
      <c r="D82" s="132">
        <f>C82+1</f>
        <v>2024</v>
      </c>
      <c r="E82" s="132">
        <f>D82+1</f>
        <v>2025</v>
      </c>
      <c r="F82" s="132">
        <f>E82+1</f>
        <v>2026</v>
      </c>
      <c r="G82" s="132">
        <f>F82+1</f>
        <v>2027</v>
      </c>
      <c r="H82" s="156">
        <f>Summary!B20</f>
        <v>0.02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</row>
    <row r="83" spans="1:22" x14ac:dyDescent="0.25">
      <c r="A83" s="10" t="str">
        <f>Summary!$E13</f>
        <v>Instruction</v>
      </c>
      <c r="B83" s="6">
        <f>H3</f>
        <v>200000</v>
      </c>
      <c r="C83" s="6">
        <f>B83*(1+$H$82+$P$3)+C75</f>
        <v>208000</v>
      </c>
      <c r="D83" s="6">
        <f>C83*(1+$H$82+$P$3)+D75</f>
        <v>266320</v>
      </c>
      <c r="E83" s="6">
        <f>D83*(1+$H$82+$P$3)+E75</f>
        <v>276972.79999999999</v>
      </c>
      <c r="F83" s="6">
        <f>E83*(1+$H$82+$P$3)+F75</f>
        <v>288051.712</v>
      </c>
      <c r="G83" s="6">
        <f>F83*(1+$H$82+$P$3)+G75</f>
        <v>299573.78048000002</v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</row>
    <row r="84" spans="1:22" x14ac:dyDescent="0.25">
      <c r="A84" s="10" t="str">
        <f>Summary!$E14</f>
        <v>Academic Support</v>
      </c>
      <c r="B84" s="6">
        <f>H4</f>
        <v>200000</v>
      </c>
      <c r="C84" s="6">
        <f t="shared" ref="C84:D87" si="72">B84*(1+$H$82+$P$3)+C76</f>
        <v>208000</v>
      </c>
      <c r="D84" s="6">
        <f t="shared" si="72"/>
        <v>216320</v>
      </c>
      <c r="E84" s="6">
        <f t="shared" ref="E84:G84" si="73">D84*(1+$H$82+$P$3)+E76</f>
        <v>224972.80000000002</v>
      </c>
      <c r="F84" s="6">
        <f t="shared" si="73"/>
        <v>233971.71200000003</v>
      </c>
      <c r="G84" s="6">
        <f t="shared" si="73"/>
        <v>243330.58048000003</v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</row>
    <row r="85" spans="1:22" x14ac:dyDescent="0.25">
      <c r="A85" s="10" t="str">
        <f>Summary!$E15</f>
        <v>Student Affairs</v>
      </c>
      <c r="B85" s="6">
        <f>H5</f>
        <v>200000</v>
      </c>
      <c r="C85" s="6">
        <f t="shared" si="72"/>
        <v>208000</v>
      </c>
      <c r="D85" s="6">
        <f t="shared" si="72"/>
        <v>216320</v>
      </c>
      <c r="E85" s="6">
        <f t="shared" ref="E85:G85" si="74">D85*(1+$H$82+$P$3)+E77</f>
        <v>224972.80000000002</v>
      </c>
      <c r="F85" s="6">
        <f t="shared" si="74"/>
        <v>233971.71200000003</v>
      </c>
      <c r="G85" s="6">
        <f t="shared" si="74"/>
        <v>243330.58048000003</v>
      </c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</row>
    <row r="86" spans="1:22" x14ac:dyDescent="0.25">
      <c r="A86" s="10" t="str">
        <f>Summary!$E16</f>
        <v>Administrative Support</v>
      </c>
      <c r="B86" s="6">
        <f>H6+Cash!B22</f>
        <v>200000</v>
      </c>
      <c r="C86" s="6">
        <f>B86*(1+$H$82+$P$3)+C78+Cash!C22</f>
        <v>208000</v>
      </c>
      <c r="D86" s="6">
        <f>C86*(1+$H$82+$P$3)+D78+Cash!D22</f>
        <v>216320</v>
      </c>
      <c r="E86" s="6">
        <f>D86*(1+$H$82+$P$3)+E78+Cash!E22</f>
        <v>224972.80000000002</v>
      </c>
      <c r="F86" s="6">
        <f>E86*(1+$H$82+$P$3)+F78+Cash!F22</f>
        <v>333971.71200000006</v>
      </c>
      <c r="G86" s="6">
        <f>F86*(1+$H$82+$P$3)+G78+Cash!G22</f>
        <v>1447330.58048</v>
      </c>
      <c r="H86" s="13" t="s">
        <v>150</v>
      </c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</row>
    <row r="87" spans="1:22" x14ac:dyDescent="0.25">
      <c r="A87" s="10" t="str">
        <f>Summary!$E17</f>
        <v>Plant Operations</v>
      </c>
      <c r="B87" s="6">
        <f>H7</f>
        <v>800000</v>
      </c>
      <c r="C87" s="6">
        <f t="shared" si="72"/>
        <v>832000</v>
      </c>
      <c r="D87" s="6">
        <f t="shared" si="72"/>
        <v>865280</v>
      </c>
      <c r="E87" s="6">
        <f t="shared" ref="E87:G87" si="75">D87*(1+$H$82+$P$3)+E79</f>
        <v>1099891.2000000002</v>
      </c>
      <c r="F87" s="6">
        <f t="shared" si="75"/>
        <v>1143886.8480000002</v>
      </c>
      <c r="G87" s="6">
        <f t="shared" si="75"/>
        <v>1189642.3219200002</v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</row>
    <row r="88" spans="1:22" x14ac:dyDescent="0.25">
      <c r="A88" s="8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</row>
    <row r="89" spans="1:22" x14ac:dyDescent="0.25">
      <c r="A89" s="20" t="s">
        <v>30</v>
      </c>
      <c r="B89" s="132">
        <f>Summary!$B$29+1</f>
        <v>2022</v>
      </c>
      <c r="C89" s="132">
        <f>B89+1</f>
        <v>2023</v>
      </c>
      <c r="D89" s="132">
        <f t="shared" ref="D89:G89" si="76">C89+1</f>
        <v>2024</v>
      </c>
      <c r="E89" s="132">
        <f t="shared" si="76"/>
        <v>2025</v>
      </c>
      <c r="F89" s="132">
        <f t="shared" si="76"/>
        <v>2026</v>
      </c>
      <c r="G89" s="132">
        <f t="shared" si="76"/>
        <v>2027</v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</row>
    <row r="90" spans="1:22" x14ac:dyDescent="0.25">
      <c r="A90" s="10" t="str">
        <f>Summary!$E13</f>
        <v>Instruction</v>
      </c>
      <c r="B90" s="18">
        <f t="shared" ref="B90:G93" si="77">B52+B68+B83+I52+I68</f>
        <v>17449000</v>
      </c>
      <c r="C90" s="18">
        <f t="shared" si="77"/>
        <v>17631969.130434781</v>
      </c>
      <c r="D90" s="18">
        <f t="shared" si="77"/>
        <v>17855624.019554783</v>
      </c>
      <c r="E90" s="18">
        <f t="shared" si="77"/>
        <v>18021902.906612355</v>
      </c>
      <c r="F90" s="18">
        <f t="shared" si="77"/>
        <v>18779381.492819179</v>
      </c>
      <c r="G90" s="18">
        <f t="shared" si="77"/>
        <v>18319229.524464112</v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</row>
    <row r="91" spans="1:22" x14ac:dyDescent="0.25">
      <c r="A91" s="10" t="str">
        <f>Summary!$E14</f>
        <v>Academic Support</v>
      </c>
      <c r="B91" s="18">
        <f t="shared" si="77"/>
        <v>2298000</v>
      </c>
      <c r="C91" s="18">
        <f t="shared" si="77"/>
        <v>2320265.9130434785</v>
      </c>
      <c r="D91" s="18">
        <f t="shared" si="77"/>
        <v>2342246.3882434783</v>
      </c>
      <c r="E91" s="18">
        <f t="shared" si="77"/>
        <v>2365214.7526027928</v>
      </c>
      <c r="F91" s="18">
        <f t="shared" si="77"/>
        <v>2387894.605530608</v>
      </c>
      <c r="G91" s="18">
        <f t="shared" si="77"/>
        <v>2410248.6991709988</v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</row>
    <row r="92" spans="1:22" x14ac:dyDescent="0.25">
      <c r="A92" s="10" t="str">
        <f>Summary!$E15</f>
        <v>Student Affairs</v>
      </c>
      <c r="B92" s="18">
        <f t="shared" si="77"/>
        <v>2336000</v>
      </c>
      <c r="C92" s="18">
        <f t="shared" si="77"/>
        <v>2346045.4956521741</v>
      </c>
      <c r="D92" s="18">
        <f t="shared" si="77"/>
        <v>2538422.8265321744</v>
      </c>
      <c r="E92" s="18">
        <f t="shared" si="77"/>
        <v>2548028.0652984735</v>
      </c>
      <c r="F92" s="18">
        <f t="shared" si="77"/>
        <v>2556503.5476045767</v>
      </c>
      <c r="G92" s="18">
        <f t="shared" si="77"/>
        <v>2563773.5349459876</v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</row>
    <row r="93" spans="1:22" x14ac:dyDescent="0.25">
      <c r="A93" s="10" t="str">
        <f>Summary!$E16</f>
        <v>Administrative Support</v>
      </c>
      <c r="B93" s="18">
        <f t="shared" si="77"/>
        <v>1459000</v>
      </c>
      <c r="C93" s="18">
        <f t="shared" si="77"/>
        <v>1467190.3304347827</v>
      </c>
      <c r="D93" s="18">
        <f t="shared" si="77"/>
        <v>1474920.4265947829</v>
      </c>
      <c r="E93" s="18">
        <f t="shared" si="77"/>
        <v>1483139.7505515676</v>
      </c>
      <c r="F93" s="18">
        <f t="shared" si="77"/>
        <v>1590882.2587269132</v>
      </c>
      <c r="G93" s="18">
        <f t="shared" si="77"/>
        <v>2702112.7053246824</v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</row>
    <row r="94" spans="1:22" x14ac:dyDescent="0.25">
      <c r="A94" s="10" t="str">
        <f>Summary!$E17</f>
        <v>Plant Operations</v>
      </c>
      <c r="B94" s="19">
        <f>B56+B72+B87+I56+I72+BalSheet!C34</f>
        <v>2569000</v>
      </c>
      <c r="C94" s="19">
        <f>C56+C72+C87+J56+J72+BalSheet!D34</f>
        <v>2611190.3304347824</v>
      </c>
      <c r="D94" s="19">
        <f>D56+D72+D87+K56+K72+BalSheet!E34</f>
        <v>2745892.0665947828</v>
      </c>
      <c r="E94" s="19">
        <f>E56+E72+E87+L56+L72+BalSheet!F34</f>
        <v>2990368.5399915678</v>
      </c>
      <c r="F94" s="19">
        <f>F56+F72+F87+M56+M72+BalSheet!G34</f>
        <v>3043386.6480973139</v>
      </c>
      <c r="G94" s="19">
        <f>G56+G72+G87+N56+N72+BalSheet!H34</f>
        <v>3097271.2165508103</v>
      </c>
      <c r="H94" s="13" t="s">
        <v>161</v>
      </c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</row>
    <row r="95" spans="1:22" x14ac:dyDescent="0.25">
      <c r="A95" s="10" t="str">
        <f>Summary!$E18</f>
        <v xml:space="preserve">Total Expenses           </v>
      </c>
      <c r="B95" s="6">
        <f>SUM(B90:B94)</f>
        <v>26111000</v>
      </c>
      <c r="C95" s="6">
        <f t="shared" ref="C95:G95" si="78">SUM(C90:C94)</f>
        <v>26376661.199999996</v>
      </c>
      <c r="D95" s="6">
        <f t="shared" si="78"/>
        <v>26957105.72752</v>
      </c>
      <c r="E95" s="6">
        <f t="shared" si="78"/>
        <v>27408654.015056755</v>
      </c>
      <c r="F95" s="6">
        <f t="shared" si="78"/>
        <v>28358048.55277859</v>
      </c>
      <c r="G95" s="6">
        <f t="shared" si="78"/>
        <v>29092635.680456594</v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</row>
    <row r="96" spans="1:22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</row>
    <row r="97" spans="1:22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</row>
    <row r="98" spans="1:22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</row>
    <row r="99" spans="1:22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</row>
    <row r="100" spans="1:22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0198-B93A-4952-9802-4759442277B6}">
  <dimension ref="A1:Q59"/>
  <sheetViews>
    <sheetView workbookViewId="0"/>
  </sheetViews>
  <sheetFormatPr defaultRowHeight="15" x14ac:dyDescent="0.25"/>
  <cols>
    <col min="1" max="1" width="28.85546875" customWidth="1"/>
    <col min="2" max="7" width="14" customWidth="1"/>
    <col min="8" max="8" width="32.5703125" customWidth="1"/>
  </cols>
  <sheetData>
    <row r="1" spans="1:17" x14ac:dyDescent="0.25">
      <c r="A1" s="168" t="str">
        <f>Summary!A1</f>
        <v>Big Desert College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169" t="s">
        <v>205</v>
      </c>
      <c r="B2" s="170">
        <f>Summary!F3</f>
        <v>2022</v>
      </c>
      <c r="C2" s="170">
        <f>Summary!G3</f>
        <v>2023</v>
      </c>
      <c r="D2" s="170">
        <f>Summary!H3</f>
        <v>2024</v>
      </c>
      <c r="E2" s="170">
        <f>Summary!I3</f>
        <v>2025</v>
      </c>
      <c r="F2" s="170">
        <f>Summary!J3</f>
        <v>2026</v>
      </c>
      <c r="G2" s="170">
        <f>Summary!K3</f>
        <v>2027</v>
      </c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25">
      <c r="A3" s="8" t="s">
        <v>206</v>
      </c>
      <c r="B3" s="171">
        <f>Enrollment!C27/Staffing!B36</f>
        <v>13.798338165119448</v>
      </c>
      <c r="C3" s="171">
        <f>Enrollment!D27/Staffing!C36</f>
        <v>12.691820609365354</v>
      </c>
      <c r="D3" s="171">
        <f>Enrollment!E27/Staffing!D36</f>
        <v>11.962516951282986</v>
      </c>
      <c r="E3" s="171">
        <f>Enrollment!F27/Staffing!E36</f>
        <v>10.6825060925489</v>
      </c>
      <c r="F3" s="171">
        <f>Enrollment!G27/Staffing!F36</f>
        <v>10.183023541285593</v>
      </c>
      <c r="G3" s="171">
        <f>Enrollment!H27/Staffing!G36</f>
        <v>9.9117418146459286</v>
      </c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25">
      <c r="A4" s="8" t="s">
        <v>207</v>
      </c>
      <c r="B4" s="171">
        <f>Enrollment!C11/Staffing!B23</f>
        <v>25.430320336151315</v>
      </c>
      <c r="C4" s="171">
        <f>Enrollment!D11/Staffing!C23</f>
        <v>24.193003796018601</v>
      </c>
      <c r="D4" s="171">
        <f>Enrollment!E11/Staffing!D23</f>
        <v>23.279665114626415</v>
      </c>
      <c r="E4" s="171">
        <f>Enrollment!F11/Staffing!E23</f>
        <v>21.671241526624886</v>
      </c>
      <c r="F4" s="171">
        <f>Enrollment!G11/Staffing!F23</f>
        <v>20.531384081242944</v>
      </c>
      <c r="G4" s="171">
        <f>Enrollment!H11/Staffing!G23</f>
        <v>19.201890991173467</v>
      </c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7" x14ac:dyDescent="0.25">
      <c r="A5" s="8" t="s">
        <v>208</v>
      </c>
      <c r="B5" s="171">
        <f>Enrollment!C11/Staffing!B33</f>
        <v>26.53598643772311</v>
      </c>
      <c r="C5" s="171">
        <f>Enrollment!D11/Staffing!C33</f>
        <v>25.057039645876408</v>
      </c>
      <c r="D5" s="171">
        <f>Enrollment!E11/Staffing!D33</f>
        <v>23.279665114626411</v>
      </c>
      <c r="E5" s="171">
        <f>Enrollment!F11/Staffing!E33</f>
        <v>21.472422797022823</v>
      </c>
      <c r="F5" s="171">
        <f>Enrollment!G11/Staffing!F33</f>
        <v>20.918768686549409</v>
      </c>
      <c r="G5" s="171">
        <f>Enrollment!H11/Staffing!G33</f>
        <v>18.642612612789769</v>
      </c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x14ac:dyDescent="0.25">
      <c r="A6" s="8" t="s">
        <v>209</v>
      </c>
      <c r="B6" s="171">
        <f>Staffing!B23/Staffing!B33</f>
        <v>1.0434782608695652</v>
      </c>
      <c r="C6" s="171">
        <f>Staffing!C23/Staffing!C33</f>
        <v>1.0357142857142858</v>
      </c>
      <c r="D6" s="171">
        <f>Staffing!D23/Staffing!D33</f>
        <v>0.99999999999999989</v>
      </c>
      <c r="E6" s="171">
        <f>Staffing!E23/Staffing!E33</f>
        <v>0.99082568807339455</v>
      </c>
      <c r="F6" s="171">
        <f>Staffing!F23/Staffing!F33</f>
        <v>1.0188679245283017</v>
      </c>
      <c r="G6" s="171">
        <f>Staffing!G23/Staffing!G33</f>
        <v>0.97087378640776667</v>
      </c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x14ac:dyDescent="0.25">
      <c r="A7" s="8" t="s">
        <v>210</v>
      </c>
      <c r="B7" s="172">
        <f>Summary!F18/((Enrollment!C27+Enrollment!C28)/2)</f>
        <v>16090.927984126463</v>
      </c>
      <c r="C7" s="172">
        <f>Summary!G18/((Enrollment!D27+Enrollment!D28)/2)</f>
        <v>17841.918461361824</v>
      </c>
      <c r="D7" s="172">
        <f>Summary!H18/((Enrollment!E27+Enrollment!E28)/2)</f>
        <v>19588.596972128391</v>
      </c>
      <c r="E7" s="172">
        <f>Summary!I18/((Enrollment!F27+Enrollment!F28)/2)</f>
        <v>22482.504545074447</v>
      </c>
      <c r="F7" s="172">
        <f>Summary!J18/((Enrollment!G27+Enrollment!G28)/2)</f>
        <v>24046.908152817985</v>
      </c>
      <c r="G7" s="172">
        <f>Summary!K18/((Enrollment!H27+Enrollment!H28)/2)</f>
        <v>27526.195603955362</v>
      </c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 x14ac:dyDescent="0.25">
      <c r="A8" s="8" t="s">
        <v>211</v>
      </c>
      <c r="B8" s="32">
        <f>Summary!F20/Summary!F10</f>
        <v>0.13925245170016617</v>
      </c>
      <c r="C8" s="32">
        <f>Summary!G20/Summary!G10</f>
        <v>7.6182848698075512E-2</v>
      </c>
      <c r="D8" s="32">
        <f>Summary!H20/Summary!H10</f>
        <v>-3.2672004080235025E-2</v>
      </c>
      <c r="E8" s="32">
        <f>Summary!I20/Summary!I10</f>
        <v>-0.17999234326543784</v>
      </c>
      <c r="F8" s="32">
        <f>Summary!J20/Summary!J10</f>
        <v>-0.30492773021862096</v>
      </c>
      <c r="G8" s="32">
        <f>Summary!K20/Summary!K10</f>
        <v>-0.57592546961305735</v>
      </c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17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17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17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1:17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17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Enrollment</vt:lpstr>
      <vt:lpstr>StuFlow</vt:lpstr>
      <vt:lpstr>BalSheet</vt:lpstr>
      <vt:lpstr>Cash</vt:lpstr>
      <vt:lpstr>Staffing</vt:lpstr>
      <vt:lpstr>KPIs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Dickmeyer</dc:creator>
  <cp:lastModifiedBy>Nathan Dickmeyer</cp:lastModifiedBy>
  <dcterms:created xsi:type="dcterms:W3CDTF">2021-02-18T21:10:06Z</dcterms:created>
  <dcterms:modified xsi:type="dcterms:W3CDTF">2022-01-24T21:08:46Z</dcterms:modified>
</cp:coreProperties>
</file>