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d209fac59cfa8b3/Documents/Excel/Model Back2/"/>
    </mc:Choice>
  </mc:AlternateContent>
  <xr:revisionPtr revIDLastSave="7" documentId="13_ncr:1_{B8EFD542-D720-4925-8C27-48821BFA916D}" xr6:coauthVersionLast="47" xr6:coauthVersionMax="47" xr10:uidLastSave="{0D965984-3CA5-4D7B-A2BC-F225CEF0598C}"/>
  <bookViews>
    <workbookView xWindow="-120" yWindow="-120" windowWidth="19440" windowHeight="14880" tabRatio="638" xr2:uid="{B379CA02-A9A6-4AA7-B58B-D86B40358E46}"/>
  </bookViews>
  <sheets>
    <sheet name="Summary" sheetId="1" r:id="rId1"/>
    <sheet name="Enrollment" sheetId="2" r:id="rId2"/>
    <sheet name="ScholTuit" sheetId="8" r:id="rId3"/>
    <sheet name="StuFlow" sheetId="4" r:id="rId4"/>
    <sheet name="BalSheet" sheetId="6" r:id="rId5"/>
    <sheet name="Endow" sheetId="9" r:id="rId6"/>
    <sheet name="Plant" sheetId="7" r:id="rId7"/>
    <sheet name="Cash" sheetId="5" r:id="rId8"/>
    <sheet name="Staffing" sheetId="3" r:id="rId9"/>
    <sheet name="KPIs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H5" i="1"/>
  <c r="I5" i="1"/>
  <c r="J5" i="1"/>
  <c r="K5" i="1"/>
  <c r="F5" i="1"/>
  <c r="C176" i="4"/>
  <c r="B176" i="4"/>
  <c r="C6" i="10" l="1"/>
  <c r="D6" i="10"/>
  <c r="E6" i="10"/>
  <c r="F6" i="10"/>
  <c r="G6" i="10"/>
  <c r="B6" i="10"/>
  <c r="G2" i="10"/>
  <c r="F2" i="10"/>
  <c r="E2" i="10"/>
  <c r="D2" i="10"/>
  <c r="C2" i="10"/>
  <c r="B2" i="10"/>
  <c r="A1" i="10"/>
  <c r="D49" i="2" l="1"/>
  <c r="E49" i="2"/>
  <c r="F49" i="2"/>
  <c r="G49" i="2"/>
  <c r="H49" i="2"/>
  <c r="C49" i="2"/>
  <c r="C31" i="2"/>
  <c r="C12" i="5"/>
  <c r="D12" i="5"/>
  <c r="E12" i="5"/>
  <c r="F12" i="5"/>
  <c r="G12" i="5"/>
  <c r="B12" i="5"/>
  <c r="C16" i="6"/>
  <c r="D16" i="6"/>
  <c r="E16" i="6"/>
  <c r="F16" i="6"/>
  <c r="G16" i="6"/>
  <c r="H16" i="6"/>
  <c r="B16" i="6"/>
  <c r="I14" i="7"/>
  <c r="A1" i="8"/>
  <c r="A1" i="2"/>
  <c r="B169" i="3"/>
  <c r="C23" i="7"/>
  <c r="C28" i="7"/>
  <c r="E28" i="7" s="1"/>
  <c r="C24" i="7"/>
  <c r="C25" i="7"/>
  <c r="C26" i="7"/>
  <c r="C27" i="7"/>
  <c r="E27" i="7" s="1"/>
  <c r="C29" i="7"/>
  <c r="C30" i="7"/>
  <c r="C31" i="7"/>
  <c r="C32" i="7"/>
  <c r="F27" i="7"/>
  <c r="E34" i="7"/>
  <c r="F34" i="7"/>
  <c r="G34" i="7"/>
  <c r="H34" i="7"/>
  <c r="I34" i="7"/>
  <c r="D34" i="7"/>
  <c r="G147" i="3"/>
  <c r="B8" i="5"/>
  <c r="H28" i="7" l="1"/>
  <c r="F28" i="7"/>
  <c r="D27" i="7"/>
  <c r="D28" i="7"/>
  <c r="I28" i="7"/>
  <c r="H27" i="7"/>
  <c r="G28" i="7"/>
  <c r="G27" i="7"/>
  <c r="D23" i="7" l="1"/>
  <c r="B32" i="7"/>
  <c r="B10" i="7"/>
  <c r="C4" i="7"/>
  <c r="B11" i="9"/>
  <c r="F46" i="1"/>
  <c r="B9" i="9"/>
  <c r="B8" i="6" s="1"/>
  <c r="C56" i="2" l="1"/>
  <c r="D55" i="2"/>
  <c r="C5" i="6" l="1"/>
  <c r="D5" i="6" s="1"/>
  <c r="E5" i="6" s="1"/>
  <c r="F5" i="6" s="1"/>
  <c r="G5" i="6" s="1"/>
  <c r="H5" i="6" s="1"/>
  <c r="G6" i="5" s="1"/>
  <c r="B3" i="5"/>
  <c r="E6" i="5" l="1"/>
  <c r="C6" i="5"/>
  <c r="F6" i="5"/>
  <c r="D6" i="5"/>
  <c r="B10" i="6" l="1"/>
  <c r="C17" i="9"/>
  <c r="D17" i="9" s="1"/>
  <c r="E17" i="9" s="1"/>
  <c r="F17" i="9" s="1"/>
  <c r="G17" i="9" s="1"/>
  <c r="H17" i="9" s="1"/>
  <c r="H10" i="6" s="1"/>
  <c r="F10" i="6" l="1"/>
  <c r="G10" i="6"/>
  <c r="E10" i="6"/>
  <c r="D10" i="6"/>
  <c r="C10" i="6"/>
  <c r="F15" i="1"/>
  <c r="F13" i="1"/>
  <c r="D45" i="2"/>
  <c r="G15" i="1" s="1"/>
  <c r="D44" i="2"/>
  <c r="G13" i="1" s="1"/>
  <c r="F14" i="1"/>
  <c r="F24" i="1" s="1"/>
  <c r="C16" i="7"/>
  <c r="B11" i="5" s="1"/>
  <c r="D16" i="7"/>
  <c r="C11" i="5" s="1"/>
  <c r="E16" i="7"/>
  <c r="D11" i="5" s="1"/>
  <c r="F16" i="7"/>
  <c r="E11" i="5" s="1"/>
  <c r="G16" i="7"/>
  <c r="F11" i="5" s="1"/>
  <c r="H16" i="7"/>
  <c r="G11" i="5" s="1"/>
  <c r="B16" i="7"/>
  <c r="B18" i="7" s="1"/>
  <c r="C15" i="7" s="1"/>
  <c r="C8" i="7"/>
  <c r="D8" i="7" s="1"/>
  <c r="E8" i="7" s="1"/>
  <c r="F8" i="7" s="1"/>
  <c r="G8" i="7" s="1"/>
  <c r="H8" i="7" s="1"/>
  <c r="D4" i="7"/>
  <c r="E4" i="7" s="1"/>
  <c r="F4" i="7" s="1"/>
  <c r="G4" i="7" s="1"/>
  <c r="H4" i="7" s="1"/>
  <c r="C5" i="7"/>
  <c r="C6" i="7"/>
  <c r="D6" i="7" s="1"/>
  <c r="C3" i="7"/>
  <c r="D3" i="7" s="1"/>
  <c r="E3" i="7" s="1"/>
  <c r="F3" i="7" s="1"/>
  <c r="G3" i="7" s="1"/>
  <c r="H3" i="7" s="1"/>
  <c r="C8" i="9"/>
  <c r="D8" i="9" s="1"/>
  <c r="E8" i="9" s="1"/>
  <c r="F8" i="9" s="1"/>
  <c r="G8" i="9" s="1"/>
  <c r="H8" i="9" s="1"/>
  <c r="B10" i="9"/>
  <c r="B24" i="5" s="1"/>
  <c r="B25" i="5" s="1"/>
  <c r="C3" i="9"/>
  <c r="B5" i="9"/>
  <c r="C5" i="9" s="1"/>
  <c r="C7" i="9" s="1"/>
  <c r="B4" i="9"/>
  <c r="C4" i="9" s="1"/>
  <c r="C6" i="9" s="1"/>
  <c r="A2" i="9"/>
  <c r="A1" i="9"/>
  <c r="C57" i="2"/>
  <c r="E55" i="2"/>
  <c r="F55" i="2" s="1"/>
  <c r="G55" i="2" s="1"/>
  <c r="H55" i="2" s="1"/>
  <c r="D60" i="2"/>
  <c r="E60" i="2" s="1"/>
  <c r="F60" i="2" s="1"/>
  <c r="G60" i="2" s="1"/>
  <c r="H60" i="2" s="1"/>
  <c r="K18" i="1" s="1"/>
  <c r="D61" i="2"/>
  <c r="G19" i="1" s="1"/>
  <c r="D48" i="2"/>
  <c r="E48" i="2" s="1"/>
  <c r="F48" i="2" s="1"/>
  <c r="G48" i="2" s="1"/>
  <c r="H48" i="2" s="1"/>
  <c r="D53" i="2"/>
  <c r="E53" i="2" s="1"/>
  <c r="F53" i="2" s="1"/>
  <c r="G53" i="2" s="1"/>
  <c r="H53" i="2" s="1"/>
  <c r="D52" i="2"/>
  <c r="E52" i="2" s="1"/>
  <c r="F52" i="2" s="1"/>
  <c r="G52" i="2" s="1"/>
  <c r="H52" i="2" s="1"/>
  <c r="F19" i="1"/>
  <c r="F18" i="1"/>
  <c r="F16" i="1"/>
  <c r="F11" i="1"/>
  <c r="F10" i="1"/>
  <c r="F9" i="1"/>
  <c r="F7" i="1"/>
  <c r="F8" i="1"/>
  <c r="F6" i="1"/>
  <c r="D34" i="2"/>
  <c r="E34" i="2" s="1"/>
  <c r="F34" i="2" s="1"/>
  <c r="G34" i="2" s="1"/>
  <c r="H34" i="2" s="1"/>
  <c r="K8" i="1" s="1"/>
  <c r="D33" i="2"/>
  <c r="E33" i="2" s="1"/>
  <c r="F33" i="2" s="1"/>
  <c r="G33" i="2" s="1"/>
  <c r="H33" i="2" s="1"/>
  <c r="K7" i="1" s="1"/>
  <c r="D32" i="2"/>
  <c r="G6" i="1" s="1"/>
  <c r="B37" i="2"/>
  <c r="D37" i="2" s="1"/>
  <c r="E37" i="2" s="1"/>
  <c r="F37" i="2" s="1"/>
  <c r="G37" i="2" s="1"/>
  <c r="H37" i="2" s="1"/>
  <c r="K10" i="1" s="1"/>
  <c r="B38" i="2"/>
  <c r="D38" i="2" s="1"/>
  <c r="E38" i="2" s="1"/>
  <c r="F38" i="2" s="1"/>
  <c r="G38" i="2" s="1"/>
  <c r="H38" i="2" s="1"/>
  <c r="K11" i="1" s="1"/>
  <c r="B36" i="2"/>
  <c r="D36" i="2" s="1"/>
  <c r="C25" i="8"/>
  <c r="D20" i="8"/>
  <c r="E20" i="8" s="1"/>
  <c r="F20" i="8" s="1"/>
  <c r="G20" i="8" s="1"/>
  <c r="H20" i="8" s="1"/>
  <c r="B14" i="8"/>
  <c r="C7" i="8"/>
  <c r="B7" i="8"/>
  <c r="B8" i="8" s="1"/>
  <c r="D4" i="8"/>
  <c r="D3" i="8"/>
  <c r="B3" i="8"/>
  <c r="B4" i="8" s="1"/>
  <c r="D24" i="8"/>
  <c r="E24" i="8" s="1"/>
  <c r="F24" i="8" s="1"/>
  <c r="G24" i="8" s="1"/>
  <c r="H24" i="8" s="1"/>
  <c r="D23" i="8"/>
  <c r="E23" i="8" s="1"/>
  <c r="F23" i="8" s="1"/>
  <c r="G23" i="8" s="1"/>
  <c r="H23" i="8" s="1"/>
  <c r="D17" i="8"/>
  <c r="E17" i="8" s="1"/>
  <c r="F17" i="8" s="1"/>
  <c r="G17" i="8" s="1"/>
  <c r="H17" i="8" s="1"/>
  <c r="D18" i="8"/>
  <c r="E18" i="8" s="1"/>
  <c r="F18" i="8" s="1"/>
  <c r="G18" i="8" s="1"/>
  <c r="H18" i="8" s="1"/>
  <c r="D19" i="8"/>
  <c r="E19" i="8" s="1"/>
  <c r="F19" i="8" s="1"/>
  <c r="G19" i="8" s="1"/>
  <c r="H19" i="8" s="1"/>
  <c r="D16" i="8"/>
  <c r="B168" i="3"/>
  <c r="C168" i="3" s="1"/>
  <c r="D168" i="3" s="1"/>
  <c r="E168" i="3" s="1"/>
  <c r="F168" i="3" s="1"/>
  <c r="G168" i="3" s="1"/>
  <c r="A179" i="3"/>
  <c r="A178" i="3"/>
  <c r="A177" i="3"/>
  <c r="A175" i="3"/>
  <c r="A174" i="3"/>
  <c r="A173" i="3"/>
  <c r="A172" i="3"/>
  <c r="A171" i="3"/>
  <c r="A170" i="3"/>
  <c r="A169" i="3"/>
  <c r="B152" i="3"/>
  <c r="B149" i="3"/>
  <c r="B150" i="3"/>
  <c r="B151" i="3"/>
  <c r="B148" i="3"/>
  <c r="B146" i="3"/>
  <c r="B143" i="3"/>
  <c r="B144" i="3"/>
  <c r="B145" i="3"/>
  <c r="A100" i="3"/>
  <c r="A99" i="3"/>
  <c r="A98" i="3"/>
  <c r="A97" i="3"/>
  <c r="I69" i="3"/>
  <c r="I70" i="3"/>
  <c r="I71" i="3"/>
  <c r="I72" i="3"/>
  <c r="I73" i="3"/>
  <c r="I74" i="3"/>
  <c r="I75" i="3"/>
  <c r="I76" i="3"/>
  <c r="I77" i="3"/>
  <c r="I78" i="3"/>
  <c r="B69" i="3"/>
  <c r="B70" i="3"/>
  <c r="B71" i="3"/>
  <c r="B72" i="3"/>
  <c r="B73" i="3"/>
  <c r="B74" i="3"/>
  <c r="B75" i="3"/>
  <c r="B76" i="3"/>
  <c r="B77" i="3"/>
  <c r="B78" i="3"/>
  <c r="A65" i="3"/>
  <c r="A64" i="3"/>
  <c r="A63" i="3"/>
  <c r="A62" i="3"/>
  <c r="I45" i="3"/>
  <c r="I46" i="3"/>
  <c r="I47" i="3"/>
  <c r="I48" i="3"/>
  <c r="I49" i="3"/>
  <c r="I50" i="3"/>
  <c r="I51" i="3"/>
  <c r="I52" i="3"/>
  <c r="I53" i="3"/>
  <c r="I54" i="3"/>
  <c r="B45" i="3"/>
  <c r="B46" i="3"/>
  <c r="B47" i="3"/>
  <c r="B48" i="3"/>
  <c r="B49" i="3"/>
  <c r="B50" i="3"/>
  <c r="B51" i="3"/>
  <c r="B52" i="3"/>
  <c r="B53" i="3"/>
  <c r="B54" i="3"/>
  <c r="I38" i="3"/>
  <c r="J38" i="3" s="1"/>
  <c r="K38" i="3" s="1"/>
  <c r="L38" i="3" s="1"/>
  <c r="M38" i="3" s="1"/>
  <c r="N38" i="3" s="1"/>
  <c r="I39" i="3"/>
  <c r="J39" i="3" s="1"/>
  <c r="K39" i="3" s="1"/>
  <c r="L39" i="3" s="1"/>
  <c r="M39" i="3" s="1"/>
  <c r="N39" i="3" s="1"/>
  <c r="I40" i="3"/>
  <c r="B38" i="3"/>
  <c r="B39" i="3"/>
  <c r="C39" i="3" s="1"/>
  <c r="B40" i="3"/>
  <c r="C40" i="3" s="1"/>
  <c r="D40" i="3" s="1"/>
  <c r="E40" i="3" s="1"/>
  <c r="F40" i="3" s="1"/>
  <c r="G40" i="3" s="1"/>
  <c r="A40" i="3"/>
  <c r="A39" i="3"/>
  <c r="A38" i="3"/>
  <c r="A37" i="3"/>
  <c r="A19" i="3"/>
  <c r="A18" i="3"/>
  <c r="A17" i="3"/>
  <c r="A16" i="3"/>
  <c r="J4" i="3"/>
  <c r="I63" i="3" s="1"/>
  <c r="J5" i="3"/>
  <c r="I64" i="3" s="1"/>
  <c r="J6" i="3"/>
  <c r="C4" i="3"/>
  <c r="B63" i="3" s="1"/>
  <c r="C5" i="3"/>
  <c r="B64" i="3" s="1"/>
  <c r="C6" i="3"/>
  <c r="A165" i="3"/>
  <c r="A164" i="3"/>
  <c r="A32" i="7" s="1"/>
  <c r="A163" i="3"/>
  <c r="A31" i="7" s="1"/>
  <c r="A162" i="3"/>
  <c r="A30" i="7" s="1"/>
  <c r="A161" i="3"/>
  <c r="A29" i="7" s="1"/>
  <c r="A160" i="3"/>
  <c r="A28" i="7" s="1"/>
  <c r="A159" i="3"/>
  <c r="A27" i="7" s="1"/>
  <c r="A158" i="3"/>
  <c r="A26" i="7" s="1"/>
  <c r="A157" i="3"/>
  <c r="A25" i="7" s="1"/>
  <c r="A156" i="3"/>
  <c r="A24" i="7" s="1"/>
  <c r="A155" i="3"/>
  <c r="A23" i="7" s="1"/>
  <c r="A152" i="3"/>
  <c r="A151" i="3"/>
  <c r="A150" i="3"/>
  <c r="A149" i="3"/>
  <c r="A148" i="3"/>
  <c r="A147" i="3"/>
  <c r="A146" i="3"/>
  <c r="A145" i="3"/>
  <c r="A144" i="3"/>
  <c r="A143" i="3"/>
  <c r="A142" i="3"/>
  <c r="A138" i="3"/>
  <c r="A137" i="3"/>
  <c r="A136" i="3"/>
  <c r="A135" i="3"/>
  <c r="A134" i="3"/>
  <c r="A133" i="3"/>
  <c r="A132" i="3"/>
  <c r="A131" i="3"/>
  <c r="A130" i="3"/>
  <c r="A129" i="3"/>
  <c r="A128" i="3"/>
  <c r="A125" i="3"/>
  <c r="A124" i="3"/>
  <c r="A123" i="3"/>
  <c r="A122" i="3"/>
  <c r="A121" i="3"/>
  <c r="A120" i="3"/>
  <c r="A119" i="3"/>
  <c r="A118" i="3"/>
  <c r="A117" i="3"/>
  <c r="A116" i="3"/>
  <c r="A115" i="3"/>
  <c r="A112" i="3"/>
  <c r="A111" i="3"/>
  <c r="A110" i="3"/>
  <c r="A109" i="3"/>
  <c r="A108" i="3"/>
  <c r="A107" i="3"/>
  <c r="A106" i="3"/>
  <c r="A105" i="3"/>
  <c r="A104" i="3"/>
  <c r="A103" i="3"/>
  <c r="A102" i="3"/>
  <c r="A92" i="3"/>
  <c r="A91" i="3"/>
  <c r="A90" i="3"/>
  <c r="A89" i="3"/>
  <c r="A88" i="3"/>
  <c r="A87" i="3"/>
  <c r="A86" i="3"/>
  <c r="A85" i="3"/>
  <c r="A84" i="3"/>
  <c r="A83" i="3"/>
  <c r="A82" i="3"/>
  <c r="A78" i="3"/>
  <c r="A77" i="3"/>
  <c r="A76" i="3"/>
  <c r="A75" i="3"/>
  <c r="A74" i="3"/>
  <c r="A73" i="3"/>
  <c r="A72" i="3"/>
  <c r="A71" i="3"/>
  <c r="A70" i="3"/>
  <c r="A69" i="3"/>
  <c r="A68" i="3"/>
  <c r="A54" i="3"/>
  <c r="A53" i="3"/>
  <c r="A52" i="3"/>
  <c r="A51" i="3"/>
  <c r="A50" i="3"/>
  <c r="A49" i="3"/>
  <c r="A48" i="3"/>
  <c r="A47" i="3"/>
  <c r="A46" i="3"/>
  <c r="A45" i="3"/>
  <c r="A44" i="3"/>
  <c r="A33" i="3"/>
  <c r="A32" i="3"/>
  <c r="A31" i="3"/>
  <c r="A30" i="3"/>
  <c r="A29" i="3"/>
  <c r="A28" i="3"/>
  <c r="A27" i="3"/>
  <c r="A26" i="3"/>
  <c r="A25" i="3"/>
  <c r="A24" i="3"/>
  <c r="A23" i="3"/>
  <c r="A1" i="7"/>
  <c r="C11" i="7" l="1"/>
  <c r="B10" i="5" s="1"/>
  <c r="D5" i="7"/>
  <c r="D10" i="7" s="1"/>
  <c r="C10" i="7"/>
  <c r="C13" i="5" s="1"/>
  <c r="D5" i="9"/>
  <c r="D7" i="9" s="1"/>
  <c r="C9" i="9"/>
  <c r="C8" i="6" s="1"/>
  <c r="G46" i="1"/>
  <c r="D4" i="9"/>
  <c r="E4" i="9" s="1"/>
  <c r="F4" i="9" s="1"/>
  <c r="G4" i="9" s="1"/>
  <c r="H4" i="9" s="1"/>
  <c r="B7" i="5"/>
  <c r="D6" i="9"/>
  <c r="C8" i="5"/>
  <c r="D8" i="5"/>
  <c r="E8" i="5"/>
  <c r="F8" i="5"/>
  <c r="G8" i="5"/>
  <c r="C47" i="2"/>
  <c r="F23" i="1" s="1"/>
  <c r="E45" i="2"/>
  <c r="E44" i="2"/>
  <c r="I92" i="3"/>
  <c r="I89" i="3"/>
  <c r="H25" i="8"/>
  <c r="D57" i="2"/>
  <c r="C18" i="7"/>
  <c r="D15" i="7" s="1"/>
  <c r="D18" i="7" s="1"/>
  <c r="E15" i="7" s="1"/>
  <c r="E18" i="7" s="1"/>
  <c r="F15" i="7" s="1"/>
  <c r="F18" i="7" s="1"/>
  <c r="G15" i="7" s="1"/>
  <c r="G18" i="7" s="1"/>
  <c r="H15" i="7" s="1"/>
  <c r="H18" i="7" s="1"/>
  <c r="B12" i="7"/>
  <c r="B9" i="6" s="1"/>
  <c r="B11" i="6" s="1"/>
  <c r="E6" i="7"/>
  <c r="F6" i="7" s="1"/>
  <c r="G6" i="7" s="1"/>
  <c r="H6" i="7" s="1"/>
  <c r="H57" i="2"/>
  <c r="G57" i="2"/>
  <c r="F57" i="2"/>
  <c r="E57" i="2"/>
  <c r="C58" i="2"/>
  <c r="F17" i="1" s="1"/>
  <c r="H56" i="2"/>
  <c r="G56" i="2"/>
  <c r="F56" i="2"/>
  <c r="E56" i="2"/>
  <c r="D56" i="2"/>
  <c r="E61" i="2"/>
  <c r="F61" i="2" s="1"/>
  <c r="G61" i="2" s="1"/>
  <c r="H61" i="2" s="1"/>
  <c r="K19" i="1" s="1"/>
  <c r="K16" i="1"/>
  <c r="G16" i="1"/>
  <c r="G18" i="1"/>
  <c r="H16" i="1"/>
  <c r="H18" i="1"/>
  <c r="J16" i="1"/>
  <c r="J18" i="1"/>
  <c r="I18" i="1"/>
  <c r="I16" i="1"/>
  <c r="E32" i="2"/>
  <c r="G8" i="1"/>
  <c r="E36" i="2"/>
  <c r="G9" i="1"/>
  <c r="J7" i="1"/>
  <c r="G10" i="1"/>
  <c r="I7" i="1"/>
  <c r="H10" i="1"/>
  <c r="H7" i="1"/>
  <c r="I10" i="1"/>
  <c r="G7" i="1"/>
  <c r="J10" i="1"/>
  <c r="J8" i="1"/>
  <c r="G11" i="1"/>
  <c r="I8" i="1"/>
  <c r="H11" i="1"/>
  <c r="H8" i="1"/>
  <c r="I11" i="1"/>
  <c r="J11" i="1"/>
  <c r="G25" i="8"/>
  <c r="F25" i="8"/>
  <c r="E25" i="8"/>
  <c r="D25" i="8"/>
  <c r="E4" i="8"/>
  <c r="F4" i="8" s="1"/>
  <c r="G4" i="8" s="1"/>
  <c r="H4" i="8" s="1"/>
  <c r="I4" i="8" s="1"/>
  <c r="J4" i="8" s="1"/>
  <c r="K4" i="8" s="1"/>
  <c r="L4" i="8" s="1"/>
  <c r="M4" i="8" s="1"/>
  <c r="N4" i="8" s="1"/>
  <c r="D7" i="8"/>
  <c r="E7" i="8" s="1"/>
  <c r="E3" i="8"/>
  <c r="F3" i="8" s="1"/>
  <c r="G3" i="8" s="1"/>
  <c r="H3" i="8" s="1"/>
  <c r="I3" i="8" s="1"/>
  <c r="J3" i="8" s="1"/>
  <c r="K3" i="8" s="1"/>
  <c r="L3" i="8" s="1"/>
  <c r="M3" i="8" s="1"/>
  <c r="N3" i="8" s="1"/>
  <c r="E16" i="8"/>
  <c r="B92" i="3"/>
  <c r="I91" i="3"/>
  <c r="B91" i="3"/>
  <c r="B89" i="3"/>
  <c r="I88" i="3"/>
  <c r="B88" i="3"/>
  <c r="I90" i="3"/>
  <c r="B90" i="3"/>
  <c r="B84" i="3"/>
  <c r="D39" i="3"/>
  <c r="B83" i="3"/>
  <c r="I84" i="3"/>
  <c r="C38" i="3"/>
  <c r="I83" i="3"/>
  <c r="B18" i="4"/>
  <c r="C18" i="4"/>
  <c r="D40" i="2"/>
  <c r="E40" i="2" s="1"/>
  <c r="F20" i="1"/>
  <c r="B13" i="5" l="1"/>
  <c r="E5" i="7"/>
  <c r="E10" i="7" s="1"/>
  <c r="D13" i="5" s="1"/>
  <c r="C12" i="7"/>
  <c r="C9" i="6" s="1"/>
  <c r="D11" i="7"/>
  <c r="C10" i="5" s="1"/>
  <c r="E5" i="9"/>
  <c r="H13" i="1"/>
  <c r="F44" i="2"/>
  <c r="F45" i="2"/>
  <c r="H15" i="1"/>
  <c r="F25" i="1"/>
  <c r="C11" i="9"/>
  <c r="G14" i="1"/>
  <c r="G24" i="1" s="1"/>
  <c r="D58" i="2"/>
  <c r="G17" i="1" s="1"/>
  <c r="E58" i="2"/>
  <c r="H17" i="1" s="1"/>
  <c r="D3" i="9"/>
  <c r="C10" i="9"/>
  <c r="C24" i="5" s="1"/>
  <c r="C25" i="5" s="1"/>
  <c r="D47" i="2" s="1"/>
  <c r="H19" i="1"/>
  <c r="F58" i="2"/>
  <c r="I17" i="1" s="1"/>
  <c r="G58" i="2"/>
  <c r="J17" i="1" s="1"/>
  <c r="H58" i="2"/>
  <c r="K17" i="1" s="1"/>
  <c r="J19" i="1"/>
  <c r="I19" i="1"/>
  <c r="H6" i="1"/>
  <c r="F32" i="2"/>
  <c r="F36" i="2"/>
  <c r="H9" i="1"/>
  <c r="D8" i="8"/>
  <c r="E8" i="8" s="1"/>
  <c r="F8" i="8" s="1"/>
  <c r="G8" i="8" s="1"/>
  <c r="F7" i="8"/>
  <c r="F16" i="8"/>
  <c r="D38" i="3"/>
  <c r="E39" i="3"/>
  <c r="B18" i="6"/>
  <c r="A1" i="6"/>
  <c r="B147" i="3"/>
  <c r="F44" i="1"/>
  <c r="A1" i="5"/>
  <c r="D12" i="7" l="1"/>
  <c r="D9" i="6" s="1"/>
  <c r="F5" i="7"/>
  <c r="G5" i="7" s="1"/>
  <c r="E11" i="7"/>
  <c r="D10" i="5" s="1"/>
  <c r="F5" i="9"/>
  <c r="G5" i="9" s="1"/>
  <c r="H5" i="9" s="1"/>
  <c r="E7" i="9"/>
  <c r="D9" i="9"/>
  <c r="D8" i="6" s="1"/>
  <c r="C7" i="5" s="1"/>
  <c r="H46" i="1"/>
  <c r="H14" i="1"/>
  <c r="H24" i="1" s="1"/>
  <c r="E6" i="9"/>
  <c r="I13" i="1"/>
  <c r="G44" i="2"/>
  <c r="G45" i="2"/>
  <c r="I15" i="1"/>
  <c r="G23" i="1"/>
  <c r="D10" i="9"/>
  <c r="D24" i="5" s="1"/>
  <c r="D25" i="5" s="1"/>
  <c r="E47" i="2" s="1"/>
  <c r="C11" i="6"/>
  <c r="D11" i="9"/>
  <c r="G32" i="2"/>
  <c r="I6" i="1"/>
  <c r="G36" i="2"/>
  <c r="I9" i="1"/>
  <c r="G7" i="8"/>
  <c r="H8" i="8"/>
  <c r="G16" i="8"/>
  <c r="F39" i="3"/>
  <c r="E38" i="3"/>
  <c r="B6" i="6"/>
  <c r="B13" i="6" s="1"/>
  <c r="B19" i="6" s="1"/>
  <c r="H37" i="3"/>
  <c r="M172" i="4"/>
  <c r="L172" i="4"/>
  <c r="E176" i="4"/>
  <c r="C177" i="4" s="1"/>
  <c r="A175" i="4"/>
  <c r="A171" i="4"/>
  <c r="A157" i="4"/>
  <c r="A143" i="4"/>
  <c r="A129" i="4"/>
  <c r="A115" i="4"/>
  <c r="A101" i="4"/>
  <c r="A87" i="4"/>
  <c r="A73" i="4"/>
  <c r="A59" i="4"/>
  <c r="A45" i="4"/>
  <c r="A31" i="4"/>
  <c r="A1" i="4"/>
  <c r="D18" i="4"/>
  <c r="B19" i="4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F12" i="1"/>
  <c r="B63" i="2"/>
  <c r="D63" i="2" s="1"/>
  <c r="G20" i="1" s="1"/>
  <c r="G25" i="1" s="1"/>
  <c r="B41" i="2"/>
  <c r="B17" i="2"/>
  <c r="B42" i="2"/>
  <c r="D42" i="2" s="1"/>
  <c r="B127" i="3"/>
  <c r="C127" i="3" s="1"/>
  <c r="D127" i="3" s="1"/>
  <c r="E127" i="3" s="1"/>
  <c r="F127" i="3" s="1"/>
  <c r="G127" i="3" s="1"/>
  <c r="H141" i="3"/>
  <c r="I22" i="3"/>
  <c r="J22" i="3" s="1"/>
  <c r="K22" i="3" s="1"/>
  <c r="L22" i="3" s="1"/>
  <c r="M22" i="3" s="1"/>
  <c r="N22" i="3" s="1"/>
  <c r="B22" i="3"/>
  <c r="C22" i="3" s="1"/>
  <c r="D22" i="3" s="1"/>
  <c r="E22" i="3" s="1"/>
  <c r="F22" i="3" s="1"/>
  <c r="G22" i="3" s="1"/>
  <c r="I15" i="3"/>
  <c r="J15" i="3" s="1"/>
  <c r="K15" i="3" s="1"/>
  <c r="L15" i="3" s="1"/>
  <c r="M15" i="3" s="1"/>
  <c r="N15" i="3" s="1"/>
  <c r="B15" i="3"/>
  <c r="C15" i="3" s="1"/>
  <c r="D15" i="3" s="1"/>
  <c r="E15" i="3" s="1"/>
  <c r="F15" i="3" s="1"/>
  <c r="G15" i="3" s="1"/>
  <c r="E12" i="7" l="1"/>
  <c r="E9" i="6" s="1"/>
  <c r="F10" i="7"/>
  <c r="E13" i="5" s="1"/>
  <c r="F11" i="7"/>
  <c r="E10" i="5" s="1"/>
  <c r="H45" i="2"/>
  <c r="K15" i="1" s="1"/>
  <c r="J15" i="1"/>
  <c r="J13" i="1"/>
  <c r="H44" i="2"/>
  <c r="K13" i="1" s="1"/>
  <c r="H23" i="1"/>
  <c r="E3" i="9"/>
  <c r="H5" i="7"/>
  <c r="H10" i="7" s="1"/>
  <c r="G10" i="7"/>
  <c r="J6" i="1"/>
  <c r="H32" i="2"/>
  <c r="K6" i="1" s="1"/>
  <c r="H36" i="2"/>
  <c r="K9" i="1" s="1"/>
  <c r="J9" i="1"/>
  <c r="I8" i="8"/>
  <c r="H7" i="8"/>
  <c r="H16" i="8"/>
  <c r="F38" i="3"/>
  <c r="G39" i="3"/>
  <c r="E63" i="2"/>
  <c r="G12" i="1"/>
  <c r="E42" i="2"/>
  <c r="I176" i="4"/>
  <c r="J176" i="4" s="1"/>
  <c r="D176" i="4"/>
  <c r="B177" i="4" s="1"/>
  <c r="I18" i="4"/>
  <c r="J18" i="4" s="1"/>
  <c r="K18" i="4" s="1"/>
  <c r="E18" i="4"/>
  <c r="C19" i="4" s="1"/>
  <c r="A1" i="3"/>
  <c r="I114" i="3"/>
  <c r="J114" i="3" s="1"/>
  <c r="K114" i="3" s="1"/>
  <c r="L114" i="3" s="1"/>
  <c r="M114" i="3" s="1"/>
  <c r="N114" i="3" s="1"/>
  <c r="O95" i="3"/>
  <c r="I95" i="3"/>
  <c r="J95" i="3" s="1"/>
  <c r="K95" i="3" s="1"/>
  <c r="L95" i="3" s="1"/>
  <c r="M95" i="3" s="1"/>
  <c r="N95" i="3" s="1"/>
  <c r="I81" i="3"/>
  <c r="J81" i="3" s="1"/>
  <c r="K81" i="3" s="1"/>
  <c r="L81" i="3" s="1"/>
  <c r="M81" i="3" s="1"/>
  <c r="N81" i="3" s="1"/>
  <c r="O68" i="3"/>
  <c r="O62" i="3"/>
  <c r="H68" i="3"/>
  <c r="I62" i="3"/>
  <c r="I61" i="3"/>
  <c r="J61" i="3" s="1"/>
  <c r="K61" i="3" s="1"/>
  <c r="L61" i="3" s="1"/>
  <c r="M61" i="3" s="1"/>
  <c r="N61" i="3" s="1"/>
  <c r="I68" i="3"/>
  <c r="I67" i="3"/>
  <c r="J67" i="3" s="1"/>
  <c r="K67" i="3" s="1"/>
  <c r="L67" i="3" s="1"/>
  <c r="M67" i="3" s="1"/>
  <c r="N67" i="3" s="1"/>
  <c r="H62" i="3"/>
  <c r="O43" i="3"/>
  <c r="I44" i="3"/>
  <c r="I43" i="3"/>
  <c r="J43" i="3" s="1"/>
  <c r="K43" i="3" s="1"/>
  <c r="L43" i="3" s="1"/>
  <c r="M43" i="3" s="1"/>
  <c r="N43" i="3" s="1"/>
  <c r="O37" i="3"/>
  <c r="I36" i="3"/>
  <c r="J36" i="3" s="1"/>
  <c r="K36" i="3" s="1"/>
  <c r="L36" i="3" s="1"/>
  <c r="M36" i="3" s="1"/>
  <c r="N36" i="3" s="1"/>
  <c r="B36" i="3"/>
  <c r="C36" i="3" s="1"/>
  <c r="D36" i="3" s="1"/>
  <c r="E36" i="3" s="1"/>
  <c r="F36" i="3" s="1"/>
  <c r="G36" i="3" s="1"/>
  <c r="J40" i="3"/>
  <c r="K40" i="3" s="1"/>
  <c r="L40" i="3" s="1"/>
  <c r="M40" i="3" s="1"/>
  <c r="N40" i="3" s="1"/>
  <c r="I37" i="3"/>
  <c r="N3" i="3"/>
  <c r="K3" i="3"/>
  <c r="I65" i="3"/>
  <c r="B65" i="3"/>
  <c r="E1" i="2"/>
  <c r="E5" i="2" s="1"/>
  <c r="C46" i="4" s="1"/>
  <c r="D19" i="2"/>
  <c r="D18" i="2"/>
  <c r="C34" i="8" s="1"/>
  <c r="B18" i="2"/>
  <c r="B19" i="2" s="1"/>
  <c r="C12" i="2"/>
  <c r="C10" i="2"/>
  <c r="D3" i="2"/>
  <c r="B43" i="3"/>
  <c r="C43" i="3" s="1"/>
  <c r="D43" i="3" s="1"/>
  <c r="E43" i="3" s="1"/>
  <c r="F43" i="3" s="1"/>
  <c r="G43" i="3" s="1"/>
  <c r="B37" i="3"/>
  <c r="H95" i="3"/>
  <c r="B95" i="3"/>
  <c r="C95" i="3" s="1"/>
  <c r="D95" i="3" s="1"/>
  <c r="E95" i="3" s="1"/>
  <c r="F95" i="3" s="1"/>
  <c r="G95" i="3" s="1"/>
  <c r="B81" i="3"/>
  <c r="C81" i="3" s="1"/>
  <c r="D81" i="3" s="1"/>
  <c r="E81" i="3" s="1"/>
  <c r="F81" i="3" s="1"/>
  <c r="G81" i="3" s="1"/>
  <c r="B154" i="3"/>
  <c r="B141" i="3"/>
  <c r="C141" i="3" s="1"/>
  <c r="D141" i="3" s="1"/>
  <c r="E141" i="3" s="1"/>
  <c r="F141" i="3" s="1"/>
  <c r="G141" i="3" s="1"/>
  <c r="B114" i="3"/>
  <c r="C114" i="3" s="1"/>
  <c r="D114" i="3" s="1"/>
  <c r="E114" i="3" s="1"/>
  <c r="F114" i="3" s="1"/>
  <c r="G114" i="3" s="1"/>
  <c r="B67" i="3"/>
  <c r="C67" i="3" s="1"/>
  <c r="D67" i="3" s="1"/>
  <c r="E67" i="3" s="1"/>
  <c r="F67" i="3" s="1"/>
  <c r="G67" i="3" s="1"/>
  <c r="B61" i="3"/>
  <c r="C61" i="3" s="1"/>
  <c r="D61" i="3" s="1"/>
  <c r="E61" i="3" s="1"/>
  <c r="F61" i="3" s="1"/>
  <c r="G61" i="3" s="1"/>
  <c r="F28" i="1"/>
  <c r="G28" i="1" s="1"/>
  <c r="H28" i="1" s="1"/>
  <c r="I28" i="1" s="1"/>
  <c r="J28" i="1" s="1"/>
  <c r="K28" i="1" s="1"/>
  <c r="B142" i="3"/>
  <c r="B68" i="3"/>
  <c r="O3" i="3"/>
  <c r="H43" i="3"/>
  <c r="B62" i="3"/>
  <c r="B44" i="3"/>
  <c r="G3" i="3"/>
  <c r="D3" i="3"/>
  <c r="F3" i="1"/>
  <c r="G11" i="7" l="1"/>
  <c r="F10" i="5" s="1"/>
  <c r="F12" i="7"/>
  <c r="F9" i="6" s="1"/>
  <c r="G13" i="5"/>
  <c r="F13" i="5"/>
  <c r="I46" i="1"/>
  <c r="F7" i="9"/>
  <c r="A35" i="1"/>
  <c r="B68" i="2"/>
  <c r="C26" i="2"/>
  <c r="F6" i="9"/>
  <c r="E9" i="9"/>
  <c r="E8" i="6" s="1"/>
  <c r="C149" i="3"/>
  <c r="D149" i="3" s="1"/>
  <c r="E149" i="3" s="1"/>
  <c r="F149" i="3" s="1"/>
  <c r="G149" i="3" s="1"/>
  <c r="C147" i="3"/>
  <c r="D147" i="3" s="1"/>
  <c r="E147" i="3" s="1"/>
  <c r="F147" i="3" s="1"/>
  <c r="C2" i="9"/>
  <c r="B2" i="9" s="1"/>
  <c r="C2" i="7"/>
  <c r="B2" i="7" s="1"/>
  <c r="C2" i="6"/>
  <c r="C29" i="8"/>
  <c r="C15" i="8"/>
  <c r="E10" i="9"/>
  <c r="E24" i="5" s="1"/>
  <c r="E25" i="5" s="1"/>
  <c r="F47" i="2" s="1"/>
  <c r="B102" i="3"/>
  <c r="C102" i="3" s="1"/>
  <c r="D102" i="3" s="1"/>
  <c r="E102" i="3" s="1"/>
  <c r="F102" i="3" s="1"/>
  <c r="G102" i="3" s="1"/>
  <c r="I102" i="3"/>
  <c r="J102" i="3" s="1"/>
  <c r="K102" i="3" s="1"/>
  <c r="L102" i="3" s="1"/>
  <c r="M102" i="3" s="1"/>
  <c r="N102" i="3" s="1"/>
  <c r="C150" i="3"/>
  <c r="D150" i="3" s="1"/>
  <c r="E150" i="3" s="1"/>
  <c r="F150" i="3" s="1"/>
  <c r="G150" i="3" s="1"/>
  <c r="D11" i="6"/>
  <c r="C148" i="3"/>
  <c r="D148" i="3" s="1"/>
  <c r="E148" i="3" s="1"/>
  <c r="F148" i="3" s="1"/>
  <c r="G148" i="3" s="1"/>
  <c r="C146" i="3"/>
  <c r="D146" i="3" s="1"/>
  <c r="E146" i="3" s="1"/>
  <c r="F146" i="3" s="1"/>
  <c r="G146" i="3" s="1"/>
  <c r="C144" i="3"/>
  <c r="D144" i="3" s="1"/>
  <c r="E144" i="3" s="1"/>
  <c r="F144" i="3" s="1"/>
  <c r="G144" i="3" s="1"/>
  <c r="C143" i="3"/>
  <c r="D143" i="3" s="1"/>
  <c r="E143" i="3" s="1"/>
  <c r="F143" i="3" s="1"/>
  <c r="G143" i="3" s="1"/>
  <c r="C145" i="3"/>
  <c r="D145" i="3" s="1"/>
  <c r="E145" i="3" s="1"/>
  <c r="F145" i="3" s="1"/>
  <c r="G145" i="3" s="1"/>
  <c r="C151" i="3"/>
  <c r="D151" i="3" s="1"/>
  <c r="E151" i="3" s="1"/>
  <c r="F151" i="3" s="1"/>
  <c r="G151" i="3" s="1"/>
  <c r="C154" i="3"/>
  <c r="D22" i="7"/>
  <c r="J8" i="8"/>
  <c r="I7" i="8"/>
  <c r="J64" i="3"/>
  <c r="C64" i="3"/>
  <c r="J63" i="3"/>
  <c r="C63" i="3"/>
  <c r="C76" i="3"/>
  <c r="D76" i="3" s="1"/>
  <c r="E76" i="3" s="1"/>
  <c r="F76" i="3" s="1"/>
  <c r="G76" i="3" s="1"/>
  <c r="C73" i="3"/>
  <c r="D73" i="3" s="1"/>
  <c r="E73" i="3" s="1"/>
  <c r="F73" i="3" s="1"/>
  <c r="G73" i="3" s="1"/>
  <c r="C74" i="3"/>
  <c r="D74" i="3" s="1"/>
  <c r="E74" i="3" s="1"/>
  <c r="F74" i="3" s="1"/>
  <c r="G74" i="3" s="1"/>
  <c r="C72" i="3"/>
  <c r="D72" i="3" s="1"/>
  <c r="E72" i="3" s="1"/>
  <c r="F72" i="3" s="1"/>
  <c r="G72" i="3" s="1"/>
  <c r="C71" i="3"/>
  <c r="D71" i="3" s="1"/>
  <c r="E71" i="3" s="1"/>
  <c r="F71" i="3" s="1"/>
  <c r="G71" i="3" s="1"/>
  <c r="C75" i="3"/>
  <c r="D75" i="3" s="1"/>
  <c r="E75" i="3" s="1"/>
  <c r="F75" i="3" s="1"/>
  <c r="G75" i="3" s="1"/>
  <c r="C77" i="3"/>
  <c r="D77" i="3" s="1"/>
  <c r="E77" i="3" s="1"/>
  <c r="F77" i="3" s="1"/>
  <c r="G77" i="3" s="1"/>
  <c r="C70" i="3"/>
  <c r="D70" i="3" s="1"/>
  <c r="E70" i="3" s="1"/>
  <c r="F70" i="3" s="1"/>
  <c r="G70" i="3" s="1"/>
  <c r="C69" i="3"/>
  <c r="D69" i="3" s="1"/>
  <c r="E69" i="3" s="1"/>
  <c r="F69" i="3" s="1"/>
  <c r="G69" i="3" s="1"/>
  <c r="C78" i="3"/>
  <c r="D78" i="3" s="1"/>
  <c r="E78" i="3" s="1"/>
  <c r="F78" i="3" s="1"/>
  <c r="G78" i="3" s="1"/>
  <c r="J71" i="3"/>
  <c r="K71" i="3" s="1"/>
  <c r="L71" i="3" s="1"/>
  <c r="M71" i="3" s="1"/>
  <c r="N71" i="3" s="1"/>
  <c r="J73" i="3"/>
  <c r="K73" i="3" s="1"/>
  <c r="L73" i="3" s="1"/>
  <c r="M73" i="3" s="1"/>
  <c r="N73" i="3" s="1"/>
  <c r="J69" i="3"/>
  <c r="K69" i="3" s="1"/>
  <c r="L69" i="3" s="1"/>
  <c r="M69" i="3" s="1"/>
  <c r="N69" i="3" s="1"/>
  <c r="J77" i="3"/>
  <c r="K77" i="3" s="1"/>
  <c r="L77" i="3" s="1"/>
  <c r="M77" i="3" s="1"/>
  <c r="N77" i="3" s="1"/>
  <c r="J72" i="3"/>
  <c r="K72" i="3" s="1"/>
  <c r="L72" i="3" s="1"/>
  <c r="M72" i="3" s="1"/>
  <c r="N72" i="3" s="1"/>
  <c r="J74" i="3"/>
  <c r="K74" i="3" s="1"/>
  <c r="L74" i="3" s="1"/>
  <c r="M74" i="3" s="1"/>
  <c r="N74" i="3" s="1"/>
  <c r="J70" i="3"/>
  <c r="K70" i="3" s="1"/>
  <c r="L70" i="3" s="1"/>
  <c r="M70" i="3" s="1"/>
  <c r="N70" i="3" s="1"/>
  <c r="J78" i="3"/>
  <c r="K78" i="3" s="1"/>
  <c r="L78" i="3" s="1"/>
  <c r="M78" i="3" s="1"/>
  <c r="N78" i="3" s="1"/>
  <c r="J76" i="3"/>
  <c r="K76" i="3" s="1"/>
  <c r="L76" i="3" s="1"/>
  <c r="M76" i="3" s="1"/>
  <c r="N76" i="3" s="1"/>
  <c r="J75" i="3"/>
  <c r="K75" i="3" s="1"/>
  <c r="L75" i="3" s="1"/>
  <c r="M75" i="3" s="1"/>
  <c r="N75" i="3" s="1"/>
  <c r="G38" i="3"/>
  <c r="B57" i="3"/>
  <c r="I97" i="3"/>
  <c r="K6" i="3"/>
  <c r="I100" i="3" s="1"/>
  <c r="K4" i="3"/>
  <c r="I98" i="3" s="1"/>
  <c r="K5" i="3"/>
  <c r="I99" i="3" s="1"/>
  <c r="G9" i="3"/>
  <c r="B108" i="3" s="1"/>
  <c r="B121" i="3" s="1"/>
  <c r="G10" i="3"/>
  <c r="B109" i="3" s="1"/>
  <c r="G4" i="3"/>
  <c r="B103" i="3" s="1"/>
  <c r="C103" i="3" s="1"/>
  <c r="D103" i="3" s="1"/>
  <c r="E103" i="3" s="1"/>
  <c r="F103" i="3" s="1"/>
  <c r="G103" i="3" s="1"/>
  <c r="G11" i="3"/>
  <c r="B110" i="3" s="1"/>
  <c r="G5" i="3"/>
  <c r="B104" i="3" s="1"/>
  <c r="C104" i="3" s="1"/>
  <c r="D104" i="3" s="1"/>
  <c r="E104" i="3" s="1"/>
  <c r="F104" i="3" s="1"/>
  <c r="G104" i="3" s="1"/>
  <c r="G12" i="3"/>
  <c r="B111" i="3" s="1"/>
  <c r="G6" i="3"/>
  <c r="B105" i="3" s="1"/>
  <c r="C105" i="3" s="1"/>
  <c r="D105" i="3" s="1"/>
  <c r="E105" i="3" s="1"/>
  <c r="F105" i="3" s="1"/>
  <c r="G105" i="3" s="1"/>
  <c r="G8" i="3"/>
  <c r="B107" i="3" s="1"/>
  <c r="B120" i="3" s="1"/>
  <c r="N7" i="3"/>
  <c r="I106" i="3" s="1"/>
  <c r="I119" i="3" s="1"/>
  <c r="N8" i="3"/>
  <c r="N9" i="3"/>
  <c r="I108" i="3" s="1"/>
  <c r="N10" i="3"/>
  <c r="I109" i="3" s="1"/>
  <c r="N11" i="3"/>
  <c r="I110" i="3" s="1"/>
  <c r="N12" i="3"/>
  <c r="I111" i="3" s="1"/>
  <c r="N13" i="3"/>
  <c r="I112" i="3" s="1"/>
  <c r="N4" i="3"/>
  <c r="I103" i="3" s="1"/>
  <c r="J103" i="3" s="1"/>
  <c r="K103" i="3" s="1"/>
  <c r="L103" i="3" s="1"/>
  <c r="M103" i="3" s="1"/>
  <c r="N103" i="3" s="1"/>
  <c r="N5" i="3"/>
  <c r="I104" i="3" s="1"/>
  <c r="J104" i="3" s="1"/>
  <c r="K104" i="3" s="1"/>
  <c r="L104" i="3" s="1"/>
  <c r="M104" i="3" s="1"/>
  <c r="N104" i="3" s="1"/>
  <c r="N6" i="3"/>
  <c r="I105" i="3" s="1"/>
  <c r="J105" i="3" s="1"/>
  <c r="K105" i="3" s="1"/>
  <c r="L105" i="3" s="1"/>
  <c r="M105" i="3" s="1"/>
  <c r="N105" i="3" s="1"/>
  <c r="B97" i="3"/>
  <c r="D4" i="3"/>
  <c r="B98" i="3" s="1"/>
  <c r="D5" i="3"/>
  <c r="B99" i="3" s="1"/>
  <c r="D6" i="3"/>
  <c r="B100" i="3" s="1"/>
  <c r="B32" i="4"/>
  <c r="F176" i="4"/>
  <c r="H20" i="1"/>
  <c r="H25" i="1" s="1"/>
  <c r="F63" i="2"/>
  <c r="B2" i="5"/>
  <c r="B19" i="5" s="1"/>
  <c r="C142" i="3"/>
  <c r="D142" i="3" s="1"/>
  <c r="E142" i="3" s="1"/>
  <c r="F142" i="3" s="1"/>
  <c r="G142" i="3" s="1"/>
  <c r="C152" i="3"/>
  <c r="D152" i="3" s="1"/>
  <c r="E152" i="3" s="1"/>
  <c r="F152" i="3" s="1"/>
  <c r="G152" i="3" s="1"/>
  <c r="B58" i="3"/>
  <c r="B82" i="3"/>
  <c r="G5" i="2"/>
  <c r="C74" i="4" s="1"/>
  <c r="E46" i="4"/>
  <c r="F42" i="2"/>
  <c r="H12" i="1"/>
  <c r="F18" i="4"/>
  <c r="I86" i="3"/>
  <c r="C37" i="3"/>
  <c r="I87" i="3"/>
  <c r="J37" i="3"/>
  <c r="K37" i="3" s="1"/>
  <c r="L37" i="3" s="1"/>
  <c r="M37" i="3" s="1"/>
  <c r="N37" i="3" s="1"/>
  <c r="I85" i="3"/>
  <c r="B85" i="3"/>
  <c r="J65" i="3"/>
  <c r="J62" i="3"/>
  <c r="K62" i="3" s="1"/>
  <c r="L62" i="3" s="1"/>
  <c r="M62" i="3" s="1"/>
  <c r="N62" i="3" s="1"/>
  <c r="J68" i="3"/>
  <c r="K68" i="3" s="1"/>
  <c r="L68" i="3" s="1"/>
  <c r="M68" i="3" s="1"/>
  <c r="N68" i="3" s="1"/>
  <c r="I82" i="3"/>
  <c r="C65" i="3"/>
  <c r="D65" i="3" s="1"/>
  <c r="E65" i="3" s="1"/>
  <c r="F65" i="3" s="1"/>
  <c r="G65" i="3" s="1"/>
  <c r="I55" i="3"/>
  <c r="J45" i="3" s="1"/>
  <c r="B87" i="3"/>
  <c r="E18" i="2"/>
  <c r="E3" i="2"/>
  <c r="B46" i="4" s="1"/>
  <c r="E19" i="2"/>
  <c r="F19" i="2" s="1"/>
  <c r="D10" i="2"/>
  <c r="B5" i="2"/>
  <c r="D5" i="2"/>
  <c r="B86" i="3"/>
  <c r="C62" i="3"/>
  <c r="D62" i="3" s="1"/>
  <c r="E62" i="3" s="1"/>
  <c r="F62" i="3" s="1"/>
  <c r="G62" i="3" s="1"/>
  <c r="C68" i="3"/>
  <c r="D68" i="3" s="1"/>
  <c r="E68" i="3" s="1"/>
  <c r="F68" i="3" s="1"/>
  <c r="G68" i="3" s="1"/>
  <c r="B55" i="3"/>
  <c r="G13" i="3"/>
  <c r="B112" i="3" s="1"/>
  <c r="B125" i="3" s="1"/>
  <c r="G7" i="3"/>
  <c r="B106" i="3" s="1"/>
  <c r="C2" i="2"/>
  <c r="D2" i="2"/>
  <c r="G3" i="1"/>
  <c r="H11" i="7" l="1"/>
  <c r="G10" i="5" s="1"/>
  <c r="G12" i="7"/>
  <c r="G9" i="6" s="1"/>
  <c r="A14" i="9"/>
  <c r="A15" i="9"/>
  <c r="C2" i="5"/>
  <c r="C19" i="5" s="1"/>
  <c r="A36" i="1"/>
  <c r="C68" i="2"/>
  <c r="E11" i="6"/>
  <c r="D7" i="5"/>
  <c r="D2" i="9"/>
  <c r="D29" i="8"/>
  <c r="D2" i="7"/>
  <c r="C2" i="8"/>
  <c r="C10" i="8"/>
  <c r="C65" i="2"/>
  <c r="B2" i="6"/>
  <c r="B14" i="7" s="1"/>
  <c r="C14" i="7"/>
  <c r="D10" i="8"/>
  <c r="D65" i="2"/>
  <c r="D2" i="8"/>
  <c r="F3" i="9"/>
  <c r="G7" i="9" s="1"/>
  <c r="I23" i="1"/>
  <c r="I14" i="1"/>
  <c r="I24" i="1" s="1"/>
  <c r="E11" i="9"/>
  <c r="B115" i="3"/>
  <c r="F18" i="2"/>
  <c r="G18" i="2" s="1"/>
  <c r="J106" i="3"/>
  <c r="K106" i="3" s="1"/>
  <c r="D154" i="3"/>
  <c r="E22" i="7"/>
  <c r="D31" i="2"/>
  <c r="D15" i="8"/>
  <c r="D26" i="2"/>
  <c r="K8" i="8"/>
  <c r="J7" i="8"/>
  <c r="C100" i="3"/>
  <c r="B118" i="3"/>
  <c r="J108" i="3"/>
  <c r="I121" i="3"/>
  <c r="B161" i="3" s="1"/>
  <c r="J99" i="3"/>
  <c r="I117" i="3"/>
  <c r="C99" i="3"/>
  <c r="B117" i="3"/>
  <c r="I116" i="3"/>
  <c r="J98" i="3"/>
  <c r="C98" i="3"/>
  <c r="B116" i="3"/>
  <c r="I118" i="3"/>
  <c r="J100" i="3"/>
  <c r="J97" i="3"/>
  <c r="K97" i="3" s="1"/>
  <c r="I115" i="3"/>
  <c r="J109" i="3"/>
  <c r="I122" i="3"/>
  <c r="C111" i="3"/>
  <c r="B124" i="3"/>
  <c r="J112" i="3"/>
  <c r="I125" i="3"/>
  <c r="B165" i="3" s="1"/>
  <c r="C110" i="3"/>
  <c r="B123" i="3"/>
  <c r="J111" i="3"/>
  <c r="I124" i="3"/>
  <c r="C106" i="3"/>
  <c r="B119" i="3"/>
  <c r="B159" i="3" s="1"/>
  <c r="J110" i="3"/>
  <c r="I123" i="3"/>
  <c r="C109" i="3"/>
  <c r="B122" i="3"/>
  <c r="K64" i="3"/>
  <c r="I107" i="3"/>
  <c r="D63" i="3"/>
  <c r="K63" i="3"/>
  <c r="J83" i="3"/>
  <c r="C112" i="3"/>
  <c r="C97" i="3"/>
  <c r="D64" i="3"/>
  <c r="C57" i="3"/>
  <c r="J44" i="3"/>
  <c r="J82" i="3" s="1"/>
  <c r="J47" i="3"/>
  <c r="J54" i="3"/>
  <c r="J92" i="3" s="1"/>
  <c r="J49" i="3"/>
  <c r="J87" i="3" s="1"/>
  <c r="J52" i="3"/>
  <c r="J90" i="3" s="1"/>
  <c r="J50" i="3"/>
  <c r="J88" i="3" s="1"/>
  <c r="J48" i="3"/>
  <c r="J51" i="3"/>
  <c r="J89" i="3" s="1"/>
  <c r="J46" i="3"/>
  <c r="J84" i="3" s="1"/>
  <c r="J53" i="3"/>
  <c r="J91" i="3" s="1"/>
  <c r="C44" i="3"/>
  <c r="C45" i="3"/>
  <c r="C83" i="3" s="1"/>
  <c r="C47" i="3"/>
  <c r="C85" i="3" s="1"/>
  <c r="C49" i="3"/>
  <c r="C54" i="3"/>
  <c r="C92" i="3" s="1"/>
  <c r="C52" i="3"/>
  <c r="C90" i="3" s="1"/>
  <c r="C46" i="3"/>
  <c r="C84" i="3" s="1"/>
  <c r="C48" i="3"/>
  <c r="C50" i="3"/>
  <c r="C88" i="3" s="1"/>
  <c r="C51" i="3"/>
  <c r="C89" i="3" s="1"/>
  <c r="C53" i="3"/>
  <c r="C91" i="3" s="1"/>
  <c r="C32" i="4"/>
  <c r="C47" i="4"/>
  <c r="D32" i="4"/>
  <c r="H177" i="4"/>
  <c r="G177" i="4"/>
  <c r="O32" i="4"/>
  <c r="H19" i="4"/>
  <c r="G19" i="4"/>
  <c r="I20" i="1"/>
  <c r="I25" i="1" s="1"/>
  <c r="G63" i="2"/>
  <c r="H63" i="2" s="1"/>
  <c r="D2" i="6"/>
  <c r="D14" i="7" s="1"/>
  <c r="D37" i="3"/>
  <c r="D57" i="3" s="1"/>
  <c r="C58" i="3"/>
  <c r="C21" i="2"/>
  <c r="A18" i="4"/>
  <c r="G3" i="2"/>
  <c r="B74" i="4" s="1"/>
  <c r="D21" i="2"/>
  <c r="A19" i="4"/>
  <c r="A32" i="4" s="1"/>
  <c r="G42" i="2"/>
  <c r="I12" i="1"/>
  <c r="I5" i="2"/>
  <c r="C102" i="4" s="1"/>
  <c r="E74" i="4"/>
  <c r="E177" i="4"/>
  <c r="C178" i="4" s="1"/>
  <c r="I177" i="4"/>
  <c r="J177" i="4" s="1"/>
  <c r="D177" i="4"/>
  <c r="E19" i="4"/>
  <c r="K65" i="3"/>
  <c r="E10" i="2"/>
  <c r="C107" i="3"/>
  <c r="C108" i="3"/>
  <c r="F3" i="2"/>
  <c r="B60" i="4" s="1"/>
  <c r="G19" i="2"/>
  <c r="H19" i="2" s="1"/>
  <c r="E12" i="2"/>
  <c r="D12" i="2"/>
  <c r="F5" i="2"/>
  <c r="E2" i="2"/>
  <c r="H3" i="1"/>
  <c r="F2" i="2"/>
  <c r="B178" i="4" l="1"/>
  <c r="H12" i="7"/>
  <c r="H9" i="6" s="1"/>
  <c r="D2" i="5"/>
  <c r="D19" i="5" s="1"/>
  <c r="A37" i="1"/>
  <c r="D68" i="2"/>
  <c r="F9" i="9"/>
  <c r="F8" i="6" s="1"/>
  <c r="E7" i="5" s="1"/>
  <c r="J46" i="1"/>
  <c r="D34" i="8"/>
  <c r="J14" i="1"/>
  <c r="J24" i="1" s="1"/>
  <c r="G6" i="9"/>
  <c r="E10" i="8"/>
  <c r="E65" i="2"/>
  <c r="E2" i="8"/>
  <c r="F11" i="9"/>
  <c r="F10" i="8"/>
  <c r="F2" i="8"/>
  <c r="F65" i="2"/>
  <c r="E29" i="8"/>
  <c r="E2" i="7"/>
  <c r="E2" i="9"/>
  <c r="H18" i="2"/>
  <c r="I18" i="2" s="1"/>
  <c r="J119" i="3"/>
  <c r="B158" i="3"/>
  <c r="B162" i="3"/>
  <c r="B157" i="3"/>
  <c r="B164" i="3"/>
  <c r="C120" i="3"/>
  <c r="C20" i="4"/>
  <c r="E31" i="2"/>
  <c r="E15" i="8"/>
  <c r="E26" i="2"/>
  <c r="B163" i="3"/>
  <c r="B156" i="3"/>
  <c r="E154" i="3"/>
  <c r="F22" i="7"/>
  <c r="L8" i="8"/>
  <c r="K7" i="8"/>
  <c r="D110" i="3"/>
  <c r="C123" i="3"/>
  <c r="D98" i="3"/>
  <c r="C116" i="3"/>
  <c r="K98" i="3"/>
  <c r="J116" i="3"/>
  <c r="D109" i="3"/>
  <c r="C122" i="3"/>
  <c r="L106" i="3"/>
  <c r="K100" i="3"/>
  <c r="J118" i="3"/>
  <c r="D100" i="3"/>
  <c r="C118" i="3"/>
  <c r="D99" i="3"/>
  <c r="C117" i="3"/>
  <c r="D106" i="3"/>
  <c r="C119" i="3"/>
  <c r="K99" i="3"/>
  <c r="J117" i="3"/>
  <c r="J107" i="3"/>
  <c r="I120" i="3"/>
  <c r="B160" i="3" s="1"/>
  <c r="K110" i="3"/>
  <c r="J123" i="3"/>
  <c r="D111" i="3"/>
  <c r="C124" i="3"/>
  <c r="C115" i="3"/>
  <c r="D112" i="3"/>
  <c r="C125" i="3"/>
  <c r="K109" i="3"/>
  <c r="J122" i="3"/>
  <c r="D108" i="3"/>
  <c r="C121" i="3"/>
  <c r="K111" i="3"/>
  <c r="J124" i="3"/>
  <c r="J115" i="3"/>
  <c r="K108" i="3"/>
  <c r="J121" i="3"/>
  <c r="K112" i="3"/>
  <c r="J125" i="3"/>
  <c r="D97" i="3"/>
  <c r="L63" i="3"/>
  <c r="E63" i="3"/>
  <c r="E64" i="3"/>
  <c r="L64" i="3"/>
  <c r="I32" i="4"/>
  <c r="J32" i="4" s="1"/>
  <c r="K32" i="4" s="1"/>
  <c r="E32" i="4"/>
  <c r="F32" i="4" s="1"/>
  <c r="H33" i="4" s="1"/>
  <c r="B33" i="4"/>
  <c r="D33" i="4" s="1"/>
  <c r="C60" i="4"/>
  <c r="E60" i="4" s="1"/>
  <c r="C61" i="4" s="1"/>
  <c r="C75" i="4"/>
  <c r="K20" i="1"/>
  <c r="K25" i="1" s="1"/>
  <c r="J20" i="1"/>
  <c r="J25" i="1" s="1"/>
  <c r="E2" i="6"/>
  <c r="E14" i="7" s="1"/>
  <c r="E37" i="3"/>
  <c r="E57" i="3" s="1"/>
  <c r="D58" i="3"/>
  <c r="I3" i="2"/>
  <c r="G10" i="2"/>
  <c r="N114" i="4"/>
  <c r="N58" i="4"/>
  <c r="N142" i="4"/>
  <c r="N44" i="4"/>
  <c r="N72" i="4"/>
  <c r="N30" i="4"/>
  <c r="N100" i="4"/>
  <c r="N16" i="4"/>
  <c r="N170" i="4"/>
  <c r="N128" i="4"/>
  <c r="N86" i="4"/>
  <c r="N156" i="4"/>
  <c r="F10" i="2"/>
  <c r="H3" i="2"/>
  <c r="K5" i="2"/>
  <c r="C130" i="4" s="1"/>
  <c r="E102" i="4"/>
  <c r="H42" i="2"/>
  <c r="K12" i="1" s="1"/>
  <c r="J12" i="1"/>
  <c r="F21" i="2"/>
  <c r="A21" i="4"/>
  <c r="E21" i="2"/>
  <c r="A20" i="4"/>
  <c r="D46" i="4"/>
  <c r="B47" i="4" s="1"/>
  <c r="I46" i="4"/>
  <c r="J46" i="4" s="1"/>
  <c r="K46" i="4" s="1"/>
  <c r="N32" i="4"/>
  <c r="F177" i="4"/>
  <c r="J86" i="3"/>
  <c r="J85" i="3"/>
  <c r="B155" i="3"/>
  <c r="L97" i="3"/>
  <c r="L65" i="3"/>
  <c r="C82" i="3"/>
  <c r="J55" i="3"/>
  <c r="K44" i="3" s="1"/>
  <c r="K115" i="3" s="1"/>
  <c r="D107" i="3"/>
  <c r="I19" i="2"/>
  <c r="J19" i="2" s="1"/>
  <c r="G12" i="2"/>
  <c r="F12" i="2"/>
  <c r="I12" i="2"/>
  <c r="H5" i="2"/>
  <c r="C86" i="3"/>
  <c r="C87" i="3"/>
  <c r="C55" i="3"/>
  <c r="D47" i="3" s="1"/>
  <c r="I3" i="1"/>
  <c r="H2" i="2"/>
  <c r="G2" i="2"/>
  <c r="E2" i="5" l="1"/>
  <c r="E19" i="5" s="1"/>
  <c r="E68" i="2"/>
  <c r="A38" i="1"/>
  <c r="E34" i="8"/>
  <c r="G10" i="8"/>
  <c r="G2" i="8"/>
  <c r="G65" i="2"/>
  <c r="F29" i="8"/>
  <c r="F2" i="7"/>
  <c r="F2" i="9"/>
  <c r="H10" i="8"/>
  <c r="H2" i="8"/>
  <c r="H65" i="2"/>
  <c r="F10" i="9"/>
  <c r="F24" i="5" s="1"/>
  <c r="F25" i="5" s="1"/>
  <c r="G47" i="2" s="1"/>
  <c r="G3" i="9"/>
  <c r="C161" i="3"/>
  <c r="C162" i="3"/>
  <c r="C165" i="3"/>
  <c r="C163" i="3"/>
  <c r="C159" i="3"/>
  <c r="C164" i="3"/>
  <c r="C156" i="3"/>
  <c r="J18" i="2"/>
  <c r="K18" i="2" s="1"/>
  <c r="C157" i="3"/>
  <c r="C158" i="3"/>
  <c r="F154" i="3"/>
  <c r="G22" i="7"/>
  <c r="F31" i="2"/>
  <c r="F26" i="2"/>
  <c r="F15" i="8"/>
  <c r="M8" i="8"/>
  <c r="L7" i="8"/>
  <c r="L111" i="3"/>
  <c r="M106" i="3"/>
  <c r="E110" i="3"/>
  <c r="L99" i="3"/>
  <c r="E107" i="3"/>
  <c r="F107" i="3" s="1"/>
  <c r="L109" i="3"/>
  <c r="E109" i="3"/>
  <c r="E98" i="3"/>
  <c r="E97" i="3"/>
  <c r="F97" i="3" s="1"/>
  <c r="E106" i="3"/>
  <c r="E112" i="3"/>
  <c r="L112" i="3"/>
  <c r="E99" i="3"/>
  <c r="E108" i="3"/>
  <c r="L108" i="3"/>
  <c r="E111" i="3"/>
  <c r="E100" i="3"/>
  <c r="D118" i="3"/>
  <c r="L110" i="3"/>
  <c r="L100" i="3"/>
  <c r="K107" i="3"/>
  <c r="J120" i="3"/>
  <c r="C160" i="3" s="1"/>
  <c r="L98" i="3"/>
  <c r="F64" i="3"/>
  <c r="M63" i="3"/>
  <c r="M64" i="3"/>
  <c r="F63" i="3"/>
  <c r="D52" i="3"/>
  <c r="D90" i="3" s="1"/>
  <c r="D45" i="3"/>
  <c r="D83" i="3" s="1"/>
  <c r="K53" i="3"/>
  <c r="K91" i="3" s="1"/>
  <c r="K52" i="3"/>
  <c r="K90" i="3" s="1"/>
  <c r="K48" i="3"/>
  <c r="K50" i="3"/>
  <c r="K88" i="3" s="1"/>
  <c r="K49" i="3"/>
  <c r="K46" i="3"/>
  <c r="K84" i="3" s="1"/>
  <c r="K51" i="3"/>
  <c r="K89" i="3" s="1"/>
  <c r="K54" i="3"/>
  <c r="K92" i="3" s="1"/>
  <c r="K45" i="3"/>
  <c r="K83" i="3" s="1"/>
  <c r="K47" i="3"/>
  <c r="K118" i="3" s="1"/>
  <c r="D51" i="3"/>
  <c r="D89" i="3" s="1"/>
  <c r="D48" i="3"/>
  <c r="D119" i="3" s="1"/>
  <c r="D54" i="3"/>
  <c r="D92" i="3" s="1"/>
  <c r="D46" i="3"/>
  <c r="D84" i="3" s="1"/>
  <c r="D50" i="3"/>
  <c r="D88" i="3" s="1"/>
  <c r="D49" i="3"/>
  <c r="D120" i="3" s="1"/>
  <c r="D53" i="3"/>
  <c r="D91" i="3" s="1"/>
  <c r="C33" i="4"/>
  <c r="I33" i="4" s="1"/>
  <c r="J33" i="4" s="1"/>
  <c r="K33" i="4" s="1"/>
  <c r="G33" i="4"/>
  <c r="C88" i="4"/>
  <c r="E88" i="4" s="1"/>
  <c r="C116" i="4"/>
  <c r="E116" i="4" s="1"/>
  <c r="B116" i="4"/>
  <c r="B88" i="4"/>
  <c r="J3" i="2"/>
  <c r="J10" i="2" s="1"/>
  <c r="B102" i="4"/>
  <c r="F46" i="4"/>
  <c r="H178" i="4"/>
  <c r="G178" i="4"/>
  <c r="F2" i="6"/>
  <c r="F14" i="7" s="1"/>
  <c r="F11" i="6"/>
  <c r="F37" i="3"/>
  <c r="F57" i="3" s="1"/>
  <c r="E58" i="3"/>
  <c r="A34" i="4"/>
  <c r="A47" i="4"/>
  <c r="A60" i="4"/>
  <c r="D19" i="4"/>
  <c r="B20" i="4" s="1"/>
  <c r="M5" i="2"/>
  <c r="E130" i="4"/>
  <c r="G21" i="2"/>
  <c r="A22" i="4"/>
  <c r="H10" i="2"/>
  <c r="H21" i="2"/>
  <c r="A23" i="4"/>
  <c r="D60" i="4"/>
  <c r="B61" i="4" s="1"/>
  <c r="I60" i="4"/>
  <c r="J60" i="4" s="1"/>
  <c r="K60" i="4" s="1"/>
  <c r="A33" i="4"/>
  <c r="A46" i="4"/>
  <c r="I74" i="4"/>
  <c r="J74" i="4" s="1"/>
  <c r="K74" i="4" s="1"/>
  <c r="D74" i="4"/>
  <c r="B75" i="4" s="1"/>
  <c r="K3" i="2"/>
  <c r="I10" i="2"/>
  <c r="I19" i="4"/>
  <c r="J19" i="4" s="1"/>
  <c r="K19" i="4" s="1"/>
  <c r="E178" i="4"/>
  <c r="D44" i="3"/>
  <c r="D82" i="3" s="1"/>
  <c r="D85" i="3"/>
  <c r="C155" i="3"/>
  <c r="B166" i="3"/>
  <c r="M97" i="3"/>
  <c r="M65" i="3"/>
  <c r="K19" i="2"/>
  <c r="L19" i="2" s="1"/>
  <c r="H12" i="2"/>
  <c r="J5" i="2"/>
  <c r="J3" i="1"/>
  <c r="J2" i="2"/>
  <c r="I2" i="2"/>
  <c r="K46" i="1" l="1"/>
  <c r="H7" i="9"/>
  <c r="F2" i="5"/>
  <c r="F19" i="5" s="1"/>
  <c r="F68" i="2"/>
  <c r="A39" i="1"/>
  <c r="H6" i="9"/>
  <c r="G9" i="9"/>
  <c r="G8" i="6" s="1"/>
  <c r="F7" i="5" s="1"/>
  <c r="F34" i="8"/>
  <c r="G29" i="8"/>
  <c r="G2" i="7"/>
  <c r="G2" i="9"/>
  <c r="I10" i="8"/>
  <c r="I65" i="2"/>
  <c r="I2" i="8"/>
  <c r="J10" i="8"/>
  <c r="J65" i="2"/>
  <c r="J2" i="8"/>
  <c r="J23" i="1"/>
  <c r="G10" i="9"/>
  <c r="G24" i="5" s="1"/>
  <c r="G25" i="5" s="1"/>
  <c r="H47" i="2" s="1"/>
  <c r="D121" i="3"/>
  <c r="L18" i="2"/>
  <c r="M18" i="2" s="1"/>
  <c r="G154" i="3"/>
  <c r="I22" i="7" s="1"/>
  <c r="H22" i="7"/>
  <c r="K122" i="3"/>
  <c r="D117" i="3"/>
  <c r="K117" i="3"/>
  <c r="D125" i="3"/>
  <c r="K124" i="3"/>
  <c r="K123" i="3"/>
  <c r="G26" i="2"/>
  <c r="G15" i="8"/>
  <c r="M7" i="8"/>
  <c r="N8" i="8"/>
  <c r="D122" i="3"/>
  <c r="F99" i="3"/>
  <c r="F109" i="3"/>
  <c r="M100" i="3"/>
  <c r="K125" i="3"/>
  <c r="M111" i="3"/>
  <c r="M112" i="3"/>
  <c r="M109" i="3"/>
  <c r="M110" i="3"/>
  <c r="F112" i="3"/>
  <c r="F108" i="3"/>
  <c r="G108" i="3" s="1"/>
  <c r="F106" i="3"/>
  <c r="D115" i="3"/>
  <c r="K116" i="3"/>
  <c r="K121" i="3"/>
  <c r="F110" i="3"/>
  <c r="N106" i="3"/>
  <c r="F100" i="3"/>
  <c r="D124" i="3"/>
  <c r="M99" i="3"/>
  <c r="K86" i="3"/>
  <c r="K119" i="3"/>
  <c r="F111" i="3"/>
  <c r="D123" i="3"/>
  <c r="M98" i="3"/>
  <c r="M108" i="3"/>
  <c r="D116" i="3"/>
  <c r="F98" i="3"/>
  <c r="L107" i="3"/>
  <c r="K120" i="3"/>
  <c r="G64" i="3"/>
  <c r="G63" i="3"/>
  <c r="N63" i="3"/>
  <c r="N64" i="3"/>
  <c r="K85" i="3"/>
  <c r="D158" i="3" s="1"/>
  <c r="B34" i="4"/>
  <c r="E33" i="4"/>
  <c r="C34" i="4" s="1"/>
  <c r="C158" i="4"/>
  <c r="E158" i="4" s="1"/>
  <c r="C89" i="4"/>
  <c r="L3" i="2"/>
  <c r="B144" i="4" s="1"/>
  <c r="B130" i="4"/>
  <c r="C117" i="4"/>
  <c r="C179" i="4"/>
  <c r="C103" i="4"/>
  <c r="F74" i="4"/>
  <c r="F19" i="4"/>
  <c r="H20" i="4" s="1"/>
  <c r="F60" i="4"/>
  <c r="H47" i="4"/>
  <c r="G47" i="4"/>
  <c r="O46" i="4"/>
  <c r="G2" i="6"/>
  <c r="G14" i="7" s="1"/>
  <c r="K3" i="1"/>
  <c r="G31" i="2"/>
  <c r="G37" i="3"/>
  <c r="G57" i="3" s="1"/>
  <c r="F58" i="3"/>
  <c r="I21" i="2"/>
  <c r="A24" i="4"/>
  <c r="A48" i="4"/>
  <c r="A74" i="4"/>
  <c r="A61" i="4"/>
  <c r="A35" i="4"/>
  <c r="J21" i="2"/>
  <c r="A25" i="4"/>
  <c r="E47" i="4"/>
  <c r="D47" i="4"/>
  <c r="I47" i="4"/>
  <c r="J47" i="4" s="1"/>
  <c r="K47" i="4" s="1"/>
  <c r="D88" i="4"/>
  <c r="B89" i="4" s="1"/>
  <c r="I88" i="4"/>
  <c r="J88" i="4" s="1"/>
  <c r="K88" i="4" s="1"/>
  <c r="D102" i="4"/>
  <c r="B103" i="4" s="1"/>
  <c r="I102" i="4"/>
  <c r="J102" i="4" s="1"/>
  <c r="K102" i="4" s="1"/>
  <c r="A88" i="4"/>
  <c r="A36" i="4"/>
  <c r="A75" i="4"/>
  <c r="A49" i="4"/>
  <c r="A62" i="4"/>
  <c r="M3" i="2"/>
  <c r="K10" i="2"/>
  <c r="I116" i="4"/>
  <c r="J116" i="4" s="1"/>
  <c r="K116" i="4" s="1"/>
  <c r="D116" i="4"/>
  <c r="B117" i="4" s="1"/>
  <c r="I178" i="4"/>
  <c r="J178" i="4" s="1"/>
  <c r="D178" i="4"/>
  <c r="B179" i="4" s="1"/>
  <c r="E20" i="4"/>
  <c r="N97" i="3"/>
  <c r="K87" i="3"/>
  <c r="K82" i="3"/>
  <c r="N65" i="3"/>
  <c r="K55" i="3"/>
  <c r="L51" i="3" s="1"/>
  <c r="L89" i="3" s="1"/>
  <c r="D87" i="3"/>
  <c r="D86" i="3"/>
  <c r="M19" i="2"/>
  <c r="N19" i="2" s="1"/>
  <c r="K12" i="2"/>
  <c r="J12" i="2"/>
  <c r="L5" i="2"/>
  <c r="G97" i="3"/>
  <c r="G107" i="3"/>
  <c r="C166" i="3"/>
  <c r="D55" i="3"/>
  <c r="E46" i="3" s="1"/>
  <c r="E84" i="3" s="1"/>
  <c r="L2" i="2"/>
  <c r="K2" i="2"/>
  <c r="G2" i="5" l="1"/>
  <c r="G19" i="5" s="1"/>
  <c r="A40" i="1"/>
  <c r="G68" i="2"/>
  <c r="G34" i="8"/>
  <c r="H3" i="9"/>
  <c r="H9" i="9" s="1"/>
  <c r="H8" i="6" s="1"/>
  <c r="L10" i="8"/>
  <c r="L65" i="2"/>
  <c r="L2" i="8"/>
  <c r="H2" i="9"/>
  <c r="H2" i="7"/>
  <c r="H29" i="8"/>
  <c r="K10" i="8"/>
  <c r="K65" i="2"/>
  <c r="K2" i="8"/>
  <c r="G11" i="6"/>
  <c r="K23" i="1"/>
  <c r="K14" i="1"/>
  <c r="K24" i="1" s="1"/>
  <c r="G11" i="9"/>
  <c r="D156" i="3"/>
  <c r="D161" i="3"/>
  <c r="D165" i="3"/>
  <c r="D163" i="3"/>
  <c r="D162" i="3"/>
  <c r="D159" i="3"/>
  <c r="D164" i="3"/>
  <c r="D157" i="3"/>
  <c r="N18" i="2"/>
  <c r="H34" i="8" s="1"/>
  <c r="D160" i="3"/>
  <c r="H31" i="2"/>
  <c r="H26" i="2"/>
  <c r="H15" i="8"/>
  <c r="N7" i="8"/>
  <c r="G111" i="3"/>
  <c r="G112" i="3"/>
  <c r="N111" i="3"/>
  <c r="G98" i="3"/>
  <c r="G110" i="3"/>
  <c r="N100" i="3"/>
  <c r="N99" i="3"/>
  <c r="N110" i="3"/>
  <c r="G109" i="3"/>
  <c r="M107" i="3"/>
  <c r="N108" i="3"/>
  <c r="E117" i="3"/>
  <c r="G100" i="3"/>
  <c r="L122" i="3"/>
  <c r="G99" i="3"/>
  <c r="N98" i="3"/>
  <c r="N109" i="3"/>
  <c r="G106" i="3"/>
  <c r="N112" i="3"/>
  <c r="L46" i="3"/>
  <c r="L52" i="3"/>
  <c r="L53" i="3"/>
  <c r="L49" i="3"/>
  <c r="L120" i="3" s="1"/>
  <c r="L48" i="3"/>
  <c r="L119" i="3" s="1"/>
  <c r="L50" i="3"/>
  <c r="L54" i="3"/>
  <c r="L45" i="3"/>
  <c r="L47" i="3"/>
  <c r="L118" i="3" s="1"/>
  <c r="E51" i="3"/>
  <c r="E48" i="3"/>
  <c r="E119" i="3" s="1"/>
  <c r="E54" i="3"/>
  <c r="E50" i="3"/>
  <c r="E53" i="3"/>
  <c r="E52" i="3"/>
  <c r="E45" i="3"/>
  <c r="E47" i="3"/>
  <c r="E118" i="3" s="1"/>
  <c r="E49" i="3"/>
  <c r="E120" i="3" s="1"/>
  <c r="L10" i="2"/>
  <c r="F33" i="4"/>
  <c r="H34" i="4" s="1"/>
  <c r="C144" i="4"/>
  <c r="E144" i="4" s="1"/>
  <c r="C145" i="4" s="1"/>
  <c r="C21" i="4"/>
  <c r="B48" i="4"/>
  <c r="N3" i="2"/>
  <c r="B172" i="4" s="1"/>
  <c r="B158" i="4"/>
  <c r="C48" i="4"/>
  <c r="C131" i="4"/>
  <c r="G20" i="4"/>
  <c r="F116" i="4"/>
  <c r="F88" i="4"/>
  <c r="E34" i="4"/>
  <c r="H61" i="4"/>
  <c r="G61" i="4"/>
  <c r="N46" i="4"/>
  <c r="F178" i="4"/>
  <c r="H179" i="4" s="1"/>
  <c r="F102" i="4"/>
  <c r="H75" i="4"/>
  <c r="G75" i="4"/>
  <c r="I20" i="4"/>
  <c r="J20" i="4" s="1"/>
  <c r="K20" i="4" s="1"/>
  <c r="H2" i="6"/>
  <c r="H14" i="7" s="1"/>
  <c r="D20" i="4"/>
  <c r="M2" i="2"/>
  <c r="N2" i="2"/>
  <c r="G58" i="3"/>
  <c r="K21" i="2"/>
  <c r="A26" i="4"/>
  <c r="A102" i="4"/>
  <c r="A89" i="4"/>
  <c r="A63" i="4"/>
  <c r="A76" i="4"/>
  <c r="A37" i="4"/>
  <c r="A50" i="4"/>
  <c r="I75" i="4"/>
  <c r="J75" i="4" s="1"/>
  <c r="K75" i="4" s="1"/>
  <c r="D75" i="4"/>
  <c r="F47" i="4"/>
  <c r="E75" i="4"/>
  <c r="A103" i="4"/>
  <c r="A90" i="4"/>
  <c r="A64" i="4"/>
  <c r="A77" i="4"/>
  <c r="A51" i="4"/>
  <c r="A116" i="4"/>
  <c r="A38" i="4"/>
  <c r="D130" i="4"/>
  <c r="B131" i="4" s="1"/>
  <c r="I130" i="4"/>
  <c r="J130" i="4" s="1"/>
  <c r="K130" i="4" s="1"/>
  <c r="M10" i="2"/>
  <c r="I61" i="4"/>
  <c r="J61" i="4" s="1"/>
  <c r="K61" i="4" s="1"/>
  <c r="D61" i="4"/>
  <c r="E61" i="4"/>
  <c r="L21" i="2"/>
  <c r="A27" i="4"/>
  <c r="E89" i="4"/>
  <c r="D144" i="4"/>
  <c r="D34" i="4"/>
  <c r="I34" i="4"/>
  <c r="J34" i="4" s="1"/>
  <c r="K34" i="4" s="1"/>
  <c r="L44" i="3"/>
  <c r="L115" i="3" s="1"/>
  <c r="E44" i="3"/>
  <c r="E115" i="3" s="1"/>
  <c r="D155" i="3"/>
  <c r="L12" i="2"/>
  <c r="M12" i="2"/>
  <c r="N5" i="2"/>
  <c r="C172" i="4" s="1"/>
  <c r="H11" i="6" l="1"/>
  <c r="G7" i="5"/>
  <c r="H10" i="9"/>
  <c r="H11" i="9"/>
  <c r="M10" i="8"/>
  <c r="M65" i="2"/>
  <c r="M2" i="8"/>
  <c r="N10" i="8"/>
  <c r="N2" i="8"/>
  <c r="N65" i="2"/>
  <c r="C76" i="4"/>
  <c r="C35" i="4"/>
  <c r="E35" i="4" s="1"/>
  <c r="E91" i="3"/>
  <c r="E124" i="3"/>
  <c r="L84" i="3"/>
  <c r="L117" i="3"/>
  <c r="L91" i="3"/>
  <c r="L124" i="3"/>
  <c r="E88" i="3"/>
  <c r="E121" i="3"/>
  <c r="E89" i="3"/>
  <c r="E122" i="3"/>
  <c r="L83" i="3"/>
  <c r="L116" i="3"/>
  <c r="L92" i="3"/>
  <c r="L125" i="3"/>
  <c r="L88" i="3"/>
  <c r="L121" i="3"/>
  <c r="L90" i="3"/>
  <c r="L123" i="3"/>
  <c r="E92" i="3"/>
  <c r="E125" i="3"/>
  <c r="N107" i="3"/>
  <c r="E83" i="3"/>
  <c r="E116" i="3"/>
  <c r="E90" i="3"/>
  <c r="E123" i="3"/>
  <c r="I144" i="4"/>
  <c r="J144" i="4" s="1"/>
  <c r="K144" i="4" s="1"/>
  <c r="B62" i="4"/>
  <c r="B145" i="4"/>
  <c r="G34" i="4"/>
  <c r="B35" i="4" s="1"/>
  <c r="N10" i="2"/>
  <c r="C62" i="4"/>
  <c r="C159" i="4"/>
  <c r="B76" i="4"/>
  <c r="B21" i="4"/>
  <c r="F20" i="4"/>
  <c r="H21" i="4" s="1"/>
  <c r="H117" i="4"/>
  <c r="G117" i="4"/>
  <c r="F130" i="4"/>
  <c r="F34" i="4"/>
  <c r="H35" i="4" s="1"/>
  <c r="F144" i="4"/>
  <c r="H103" i="4"/>
  <c r="G103" i="4"/>
  <c r="H89" i="4"/>
  <c r="C90" i="4" s="1"/>
  <c r="G89" i="4"/>
  <c r="G179" i="4"/>
  <c r="G48" i="4"/>
  <c r="H48" i="4"/>
  <c r="A29" i="4"/>
  <c r="A146" i="4" s="1"/>
  <c r="N21" i="2"/>
  <c r="A28" i="4"/>
  <c r="A93" i="4" s="1"/>
  <c r="M21" i="2"/>
  <c r="D172" i="4"/>
  <c r="D89" i="4"/>
  <c r="I89" i="4"/>
  <c r="J89" i="4" s="1"/>
  <c r="K89" i="4" s="1"/>
  <c r="I158" i="4"/>
  <c r="J158" i="4" s="1"/>
  <c r="K158" i="4" s="1"/>
  <c r="D158" i="4"/>
  <c r="B159" i="4" s="1"/>
  <c r="F75" i="4"/>
  <c r="D103" i="4"/>
  <c r="I103" i="4"/>
  <c r="J103" i="4" s="1"/>
  <c r="K103" i="4" s="1"/>
  <c r="N12" i="2"/>
  <c r="A79" i="4"/>
  <c r="A118" i="4"/>
  <c r="A53" i="4"/>
  <c r="A66" i="4"/>
  <c r="A40" i="4"/>
  <c r="A92" i="4"/>
  <c r="A131" i="4"/>
  <c r="A105" i="4"/>
  <c r="A144" i="4"/>
  <c r="D117" i="4"/>
  <c r="I117" i="4"/>
  <c r="J117" i="4" s="1"/>
  <c r="K117" i="4" s="1"/>
  <c r="E117" i="4"/>
  <c r="A91" i="4"/>
  <c r="A39" i="4"/>
  <c r="A78" i="4"/>
  <c r="A117" i="4"/>
  <c r="A52" i="4"/>
  <c r="A130" i="4"/>
  <c r="A104" i="4"/>
  <c r="A65" i="4"/>
  <c r="F61" i="4"/>
  <c r="E103" i="4"/>
  <c r="I179" i="4"/>
  <c r="J179" i="4" s="1"/>
  <c r="D179" i="4"/>
  <c r="E179" i="4"/>
  <c r="C180" i="4" s="1"/>
  <c r="O60" i="4"/>
  <c r="L82" i="3"/>
  <c r="L87" i="3"/>
  <c r="L85" i="3"/>
  <c r="L86" i="3"/>
  <c r="E85" i="3"/>
  <c r="E82" i="3"/>
  <c r="L55" i="3"/>
  <c r="M51" i="3" s="1"/>
  <c r="D166" i="3"/>
  <c r="E87" i="3"/>
  <c r="E86" i="3"/>
  <c r="E55" i="3"/>
  <c r="F46" i="3" s="1"/>
  <c r="E165" i="3" l="1"/>
  <c r="E159" i="3"/>
  <c r="E160" i="3"/>
  <c r="E157" i="3"/>
  <c r="E158" i="3"/>
  <c r="E162" i="3"/>
  <c r="E161" i="3"/>
  <c r="E163" i="3"/>
  <c r="E156" i="3"/>
  <c r="E164" i="3"/>
  <c r="F84" i="3"/>
  <c r="F117" i="3"/>
  <c r="M89" i="3"/>
  <c r="M122" i="3"/>
  <c r="F48" i="3"/>
  <c r="F119" i="3" s="1"/>
  <c r="F51" i="3"/>
  <c r="F52" i="3"/>
  <c r="F49" i="3"/>
  <c r="F120" i="3" s="1"/>
  <c r="F54" i="3"/>
  <c r="F125" i="3" s="1"/>
  <c r="F53" i="3"/>
  <c r="F45" i="3"/>
  <c r="M45" i="3"/>
  <c r="M52" i="3"/>
  <c r="M53" i="3"/>
  <c r="M50" i="3"/>
  <c r="M46" i="3"/>
  <c r="M54" i="3"/>
  <c r="M49" i="3"/>
  <c r="M120" i="3" s="1"/>
  <c r="M48" i="3"/>
  <c r="M119" i="3" s="1"/>
  <c r="M47" i="3"/>
  <c r="F47" i="3"/>
  <c r="F50" i="3"/>
  <c r="B118" i="4"/>
  <c r="B90" i="4"/>
  <c r="C118" i="4"/>
  <c r="B104" i="4"/>
  <c r="C104" i="4"/>
  <c r="C36" i="4"/>
  <c r="B180" i="4"/>
  <c r="F89" i="4"/>
  <c r="H90" i="4" s="1"/>
  <c r="G21" i="4"/>
  <c r="G35" i="4"/>
  <c r="F158" i="4"/>
  <c r="H131" i="4"/>
  <c r="G131" i="4"/>
  <c r="N60" i="4"/>
  <c r="H145" i="4"/>
  <c r="G145" i="4"/>
  <c r="H76" i="4"/>
  <c r="G76" i="4"/>
  <c r="H62" i="4"/>
  <c r="G62" i="4"/>
  <c r="A68" i="4"/>
  <c r="A119" i="4"/>
  <c r="A106" i="4"/>
  <c r="A132" i="4"/>
  <c r="A67" i="4"/>
  <c r="A172" i="4"/>
  <c r="A107" i="4"/>
  <c r="A94" i="4"/>
  <c r="A55" i="4"/>
  <c r="A120" i="4"/>
  <c r="A133" i="4"/>
  <c r="A42" i="4"/>
  <c r="A159" i="4"/>
  <c r="A81" i="4"/>
  <c r="A158" i="4"/>
  <c r="A41" i="4"/>
  <c r="A80" i="4"/>
  <c r="A54" i="4"/>
  <c r="A145" i="4"/>
  <c r="E131" i="4"/>
  <c r="D131" i="4"/>
  <c r="I131" i="4"/>
  <c r="J131" i="4" s="1"/>
  <c r="K131" i="4" s="1"/>
  <c r="E172" i="4"/>
  <c r="F117" i="4"/>
  <c r="F103" i="4"/>
  <c r="I172" i="4"/>
  <c r="J172" i="4" s="1"/>
  <c r="K172" i="4" s="1"/>
  <c r="E76" i="4"/>
  <c r="E48" i="4"/>
  <c r="C49" i="4" s="1"/>
  <c r="I145" i="4"/>
  <c r="J145" i="4" s="1"/>
  <c r="K145" i="4" s="1"/>
  <c r="D145" i="4"/>
  <c r="I48" i="4"/>
  <c r="J48" i="4" s="1"/>
  <c r="K48" i="4" s="1"/>
  <c r="D48" i="4"/>
  <c r="B49" i="4" s="1"/>
  <c r="E145" i="4"/>
  <c r="F179" i="4"/>
  <c r="E21" i="4"/>
  <c r="C22" i="4" s="1"/>
  <c r="D35" i="4"/>
  <c r="I35" i="4"/>
  <c r="J35" i="4" s="1"/>
  <c r="K35" i="4" s="1"/>
  <c r="I21" i="4"/>
  <c r="J21" i="4" s="1"/>
  <c r="K21" i="4" s="1"/>
  <c r="D21" i="4"/>
  <c r="B22" i="4" s="1"/>
  <c r="F44" i="3"/>
  <c r="F115" i="3" s="1"/>
  <c r="M44" i="3"/>
  <c r="M115" i="3" s="1"/>
  <c r="E155" i="3"/>
  <c r="B146" i="4" l="1"/>
  <c r="B36" i="4"/>
  <c r="F88" i="3"/>
  <c r="F121" i="3"/>
  <c r="F85" i="3"/>
  <c r="F118" i="3"/>
  <c r="F91" i="3"/>
  <c r="F124" i="3"/>
  <c r="F90" i="3"/>
  <c r="F123" i="3"/>
  <c r="M88" i="3"/>
  <c r="M121" i="3"/>
  <c r="F83" i="3"/>
  <c r="F116" i="3"/>
  <c r="M85" i="3"/>
  <c r="M118" i="3"/>
  <c r="M92" i="3"/>
  <c r="M125" i="3"/>
  <c r="M84" i="3"/>
  <c r="M117" i="3"/>
  <c r="M91" i="3"/>
  <c r="M124" i="3"/>
  <c r="F89" i="3"/>
  <c r="F122" i="3"/>
  <c r="M90" i="3"/>
  <c r="M123" i="3"/>
  <c r="M83" i="3"/>
  <c r="M116" i="3"/>
  <c r="F92" i="3"/>
  <c r="C77" i="4"/>
  <c r="C146" i="4"/>
  <c r="B132" i="4"/>
  <c r="C132" i="4"/>
  <c r="G90" i="4"/>
  <c r="F35" i="4"/>
  <c r="H36" i="4" s="1"/>
  <c r="G159" i="4"/>
  <c r="H159" i="4"/>
  <c r="H118" i="4"/>
  <c r="G118" i="4"/>
  <c r="H104" i="4"/>
  <c r="G104" i="4"/>
  <c r="H180" i="4"/>
  <c r="G180" i="4"/>
  <c r="F131" i="4"/>
  <c r="D159" i="4"/>
  <c r="I159" i="4"/>
  <c r="J159" i="4" s="1"/>
  <c r="K159" i="4" s="1"/>
  <c r="I76" i="4"/>
  <c r="J76" i="4" s="1"/>
  <c r="K76" i="4" s="1"/>
  <c r="D76" i="4"/>
  <c r="B77" i="4" s="1"/>
  <c r="F48" i="4"/>
  <c r="I90" i="4"/>
  <c r="J90" i="4" s="1"/>
  <c r="K90" i="4" s="1"/>
  <c r="D90" i="4"/>
  <c r="E159" i="4"/>
  <c r="E90" i="4"/>
  <c r="C91" i="4" s="1"/>
  <c r="F172" i="4"/>
  <c r="F145" i="4"/>
  <c r="I62" i="4"/>
  <c r="J62" i="4" s="1"/>
  <c r="K62" i="4" s="1"/>
  <c r="D62" i="4"/>
  <c r="B63" i="4" s="1"/>
  <c r="E62" i="4"/>
  <c r="C63" i="4" s="1"/>
  <c r="F21" i="4"/>
  <c r="M87" i="3"/>
  <c r="M86" i="3"/>
  <c r="M82" i="3"/>
  <c r="F82" i="3"/>
  <c r="M55" i="3"/>
  <c r="N49" i="3" s="1"/>
  <c r="N120" i="3" s="1"/>
  <c r="F87" i="3"/>
  <c r="E166" i="3"/>
  <c r="F86" i="3"/>
  <c r="F55" i="3"/>
  <c r="G47" i="3" s="1"/>
  <c r="F157" i="3" l="1"/>
  <c r="F165" i="3"/>
  <c r="F161" i="3"/>
  <c r="F159" i="3"/>
  <c r="F160" i="3"/>
  <c r="F156" i="3"/>
  <c r="F162" i="3"/>
  <c r="F164" i="3"/>
  <c r="F158" i="3"/>
  <c r="F163" i="3"/>
  <c r="B160" i="4"/>
  <c r="G85" i="3"/>
  <c r="G118" i="3"/>
  <c r="N54" i="3"/>
  <c r="N47" i="3"/>
  <c r="N118" i="3" s="1"/>
  <c r="N46" i="3"/>
  <c r="N45" i="3"/>
  <c r="N53" i="3"/>
  <c r="N51" i="3"/>
  <c r="N52" i="3"/>
  <c r="N50" i="3"/>
  <c r="N48" i="3"/>
  <c r="N119" i="3" s="1"/>
  <c r="G53" i="3"/>
  <c r="G49" i="3"/>
  <c r="G120" i="3" s="1"/>
  <c r="G45" i="3"/>
  <c r="G51" i="3"/>
  <c r="G46" i="3"/>
  <c r="G48" i="3"/>
  <c r="G119" i="3" s="1"/>
  <c r="G54" i="3"/>
  <c r="G125" i="3" s="1"/>
  <c r="G52" i="3"/>
  <c r="G50" i="3"/>
  <c r="B91" i="4"/>
  <c r="C160" i="4"/>
  <c r="G36" i="4"/>
  <c r="F76" i="4"/>
  <c r="G77" i="4" s="1"/>
  <c r="H172" i="4"/>
  <c r="G172" i="4"/>
  <c r="G132" i="4"/>
  <c r="H132" i="4"/>
  <c r="G146" i="4"/>
  <c r="H146" i="4"/>
  <c r="H22" i="4"/>
  <c r="G22" i="4"/>
  <c r="H49" i="4"/>
  <c r="G49" i="4"/>
  <c r="I132" i="4"/>
  <c r="J132" i="4" s="1"/>
  <c r="K132" i="4" s="1"/>
  <c r="F90" i="4"/>
  <c r="F62" i="4"/>
  <c r="D104" i="4"/>
  <c r="B105" i="4" s="1"/>
  <c r="I104" i="4"/>
  <c r="J104" i="4" s="1"/>
  <c r="K104" i="4" s="1"/>
  <c r="E118" i="4"/>
  <c r="C119" i="4" s="1"/>
  <c r="D132" i="4"/>
  <c r="E104" i="4"/>
  <c r="C105" i="4" s="1"/>
  <c r="D118" i="4"/>
  <c r="B119" i="4" s="1"/>
  <c r="I118" i="4"/>
  <c r="J118" i="4" s="1"/>
  <c r="K118" i="4" s="1"/>
  <c r="F159" i="4"/>
  <c r="I180" i="4"/>
  <c r="J180" i="4" s="1"/>
  <c r="D180" i="4"/>
  <c r="B181" i="4" s="1"/>
  <c r="E180" i="4"/>
  <c r="C181" i="4" s="1"/>
  <c r="N74" i="4"/>
  <c r="D36" i="4"/>
  <c r="I36" i="4"/>
  <c r="J36" i="4" s="1"/>
  <c r="K36" i="4" s="1"/>
  <c r="E36" i="4"/>
  <c r="C37" i="4" s="1"/>
  <c r="O74" i="4"/>
  <c r="N44" i="3"/>
  <c r="N115" i="3" s="1"/>
  <c r="G44" i="3"/>
  <c r="F155" i="3"/>
  <c r="B133" i="4" l="1"/>
  <c r="G82" i="3"/>
  <c r="G115" i="3"/>
  <c r="G90" i="3"/>
  <c r="G123" i="3"/>
  <c r="G88" i="3"/>
  <c r="G121" i="3"/>
  <c r="N89" i="3"/>
  <c r="N122" i="3"/>
  <c r="N91" i="3"/>
  <c r="N124" i="3"/>
  <c r="N84" i="3"/>
  <c r="N117" i="3"/>
  <c r="N92" i="3"/>
  <c r="N125" i="3"/>
  <c r="N90" i="3"/>
  <c r="N123" i="3"/>
  <c r="N83" i="3"/>
  <c r="N116" i="3"/>
  <c r="G89" i="3"/>
  <c r="G122" i="3"/>
  <c r="G83" i="3"/>
  <c r="G116" i="3"/>
  <c r="G91" i="3"/>
  <c r="G124" i="3"/>
  <c r="N88" i="3"/>
  <c r="N121" i="3"/>
  <c r="G84" i="3"/>
  <c r="G117" i="3"/>
  <c r="G92" i="3"/>
  <c r="B37" i="4"/>
  <c r="H77" i="4"/>
  <c r="H91" i="4"/>
  <c r="G91" i="4"/>
  <c r="E63" i="4"/>
  <c r="G63" i="4"/>
  <c r="H63" i="4"/>
  <c r="H160" i="4"/>
  <c r="G160" i="4"/>
  <c r="E132" i="4"/>
  <c r="C133" i="4" s="1"/>
  <c r="D91" i="4"/>
  <c r="F104" i="4"/>
  <c r="D49" i="4"/>
  <c r="B50" i="4" s="1"/>
  <c r="I49" i="4"/>
  <c r="J49" i="4" s="1"/>
  <c r="K49" i="4" s="1"/>
  <c r="I146" i="4"/>
  <c r="J146" i="4" s="1"/>
  <c r="K146" i="4" s="1"/>
  <c r="D146" i="4"/>
  <c r="B147" i="4" s="1"/>
  <c r="E49" i="4"/>
  <c r="C50" i="4" s="1"/>
  <c r="E146" i="4"/>
  <c r="C147" i="4" s="1"/>
  <c r="E91" i="4"/>
  <c r="F118" i="4"/>
  <c r="E160" i="4"/>
  <c r="I77" i="4"/>
  <c r="J77" i="4" s="1"/>
  <c r="K77" i="4" s="1"/>
  <c r="D77" i="4"/>
  <c r="B78" i="4" s="1"/>
  <c r="E77" i="4"/>
  <c r="F180" i="4"/>
  <c r="F36" i="4"/>
  <c r="D22" i="4"/>
  <c r="B23" i="4" s="1"/>
  <c r="I22" i="4"/>
  <c r="J22" i="4" s="1"/>
  <c r="K22" i="4" s="1"/>
  <c r="E22" i="4"/>
  <c r="C23" i="4" s="1"/>
  <c r="N82" i="3"/>
  <c r="N87" i="3"/>
  <c r="N85" i="3"/>
  <c r="G158" i="3" s="1"/>
  <c r="N86" i="3"/>
  <c r="N55" i="3"/>
  <c r="G87" i="3"/>
  <c r="G86" i="3"/>
  <c r="F166" i="3"/>
  <c r="G55" i="3"/>
  <c r="G165" i="3" l="1"/>
  <c r="G159" i="3"/>
  <c r="G163" i="3"/>
  <c r="G160" i="3"/>
  <c r="G156" i="3"/>
  <c r="C161" i="4"/>
  <c r="G162" i="3"/>
  <c r="G164" i="3"/>
  <c r="G157" i="3"/>
  <c r="G161" i="3"/>
  <c r="C78" i="4"/>
  <c r="C92" i="4"/>
  <c r="B92" i="4"/>
  <c r="C64" i="4"/>
  <c r="F132" i="4"/>
  <c r="H133" i="4" s="1"/>
  <c r="H119" i="4"/>
  <c r="G119" i="4"/>
  <c r="H37" i="4"/>
  <c r="G37" i="4"/>
  <c r="H181" i="4"/>
  <c r="G181" i="4"/>
  <c r="E105" i="4"/>
  <c r="H105" i="4"/>
  <c r="G105" i="4"/>
  <c r="I63" i="4"/>
  <c r="J63" i="4" s="1"/>
  <c r="K63" i="4" s="1"/>
  <c r="D105" i="4"/>
  <c r="I91" i="4"/>
  <c r="J91" i="4" s="1"/>
  <c r="K91" i="4" s="1"/>
  <c r="D63" i="4"/>
  <c r="B64" i="4" s="1"/>
  <c r="I160" i="4"/>
  <c r="J160" i="4" s="1"/>
  <c r="K160" i="4" s="1"/>
  <c r="D160" i="4"/>
  <c r="B161" i="4" s="1"/>
  <c r="D133" i="4"/>
  <c r="I133" i="4"/>
  <c r="J133" i="4" s="1"/>
  <c r="K133" i="4" s="1"/>
  <c r="F146" i="4"/>
  <c r="F91" i="4"/>
  <c r="F77" i="4"/>
  <c r="F49" i="4"/>
  <c r="F22" i="4"/>
  <c r="G155" i="3"/>
  <c r="G133" i="4" l="1"/>
  <c r="B134" i="4" s="1"/>
  <c r="B106" i="4"/>
  <c r="C106" i="4"/>
  <c r="F160" i="4"/>
  <c r="H161" i="4" s="1"/>
  <c r="F63" i="4"/>
  <c r="H64" i="4" s="1"/>
  <c r="I64" i="4"/>
  <c r="J64" i="4" s="1"/>
  <c r="K64" i="4" s="1"/>
  <c r="E133" i="4"/>
  <c r="C134" i="4" s="1"/>
  <c r="H23" i="4"/>
  <c r="G23" i="4"/>
  <c r="H92" i="4"/>
  <c r="G92" i="4"/>
  <c r="H147" i="4"/>
  <c r="G147" i="4"/>
  <c r="H50" i="4"/>
  <c r="G50" i="4"/>
  <c r="H78" i="4"/>
  <c r="G78" i="4"/>
  <c r="E64" i="4"/>
  <c r="I105" i="4"/>
  <c r="J105" i="4" s="1"/>
  <c r="K105" i="4" s="1"/>
  <c r="D64" i="4"/>
  <c r="D119" i="4"/>
  <c r="B120" i="4" s="1"/>
  <c r="I119" i="4"/>
  <c r="J119" i="4" s="1"/>
  <c r="K119" i="4" s="1"/>
  <c r="E147" i="4"/>
  <c r="E119" i="4"/>
  <c r="C120" i="4" s="1"/>
  <c r="E161" i="4"/>
  <c r="E50" i="4"/>
  <c r="F105" i="4"/>
  <c r="I181" i="4"/>
  <c r="J181" i="4" s="1"/>
  <c r="D181" i="4"/>
  <c r="B182" i="4" s="1"/>
  <c r="E181" i="4"/>
  <c r="C182" i="4" s="1"/>
  <c r="D37" i="4"/>
  <c r="B38" i="4" s="1"/>
  <c r="I37" i="4"/>
  <c r="O88" i="4"/>
  <c r="N88" i="4"/>
  <c r="G166" i="3"/>
  <c r="C148" i="4" l="1"/>
  <c r="C65" i="4"/>
  <c r="C162" i="4"/>
  <c r="C51" i="4"/>
  <c r="G161" i="4"/>
  <c r="E134" i="4"/>
  <c r="F133" i="4"/>
  <c r="G64" i="4"/>
  <c r="B65" i="4" s="1"/>
  <c r="H106" i="4"/>
  <c r="G106" i="4"/>
  <c r="F64" i="4"/>
  <c r="F119" i="4"/>
  <c r="D161" i="4"/>
  <c r="I161" i="4"/>
  <c r="J161" i="4" s="1"/>
  <c r="K161" i="4" s="1"/>
  <c r="D134" i="4"/>
  <c r="I134" i="4"/>
  <c r="J134" i="4" s="1"/>
  <c r="K134" i="4" s="1"/>
  <c r="I147" i="4"/>
  <c r="J147" i="4" s="1"/>
  <c r="K147" i="4" s="1"/>
  <c r="D147" i="4"/>
  <c r="B148" i="4" s="1"/>
  <c r="E78" i="4"/>
  <c r="C79" i="4" s="1"/>
  <c r="I78" i="4"/>
  <c r="J78" i="4" s="1"/>
  <c r="K78" i="4" s="1"/>
  <c r="D78" i="4"/>
  <c r="B79" i="4" s="1"/>
  <c r="D50" i="4"/>
  <c r="B51" i="4" s="1"/>
  <c r="I50" i="4"/>
  <c r="J50" i="4" s="1"/>
  <c r="K50" i="4" s="1"/>
  <c r="D92" i="4"/>
  <c r="B93" i="4" s="1"/>
  <c r="I92" i="4"/>
  <c r="J92" i="4" s="1"/>
  <c r="K92" i="4" s="1"/>
  <c r="E92" i="4"/>
  <c r="C93" i="4" s="1"/>
  <c r="F181" i="4"/>
  <c r="J37" i="4"/>
  <c r="K37" i="4" s="1"/>
  <c r="E37" i="4"/>
  <c r="C38" i="4" s="1"/>
  <c r="D23" i="4"/>
  <c r="B24" i="4" s="1"/>
  <c r="I23" i="4"/>
  <c r="J23" i="4" s="1"/>
  <c r="K23" i="4" s="1"/>
  <c r="E23" i="4"/>
  <c r="C24" i="4" s="1"/>
  <c r="B162" i="4" l="1"/>
  <c r="F161" i="4"/>
  <c r="F50" i="4"/>
  <c r="H51" i="4" s="1"/>
  <c r="F37" i="4"/>
  <c r="G38" i="4" s="1"/>
  <c r="G134" i="4"/>
  <c r="B135" i="4" s="1"/>
  <c r="H134" i="4"/>
  <c r="C135" i="4" s="1"/>
  <c r="F147" i="4"/>
  <c r="H148" i="4" s="1"/>
  <c r="F134" i="4"/>
  <c r="H135" i="4" s="1"/>
  <c r="H182" i="4"/>
  <c r="G182" i="4"/>
  <c r="D120" i="4"/>
  <c r="H120" i="4"/>
  <c r="G120" i="4"/>
  <c r="E65" i="4"/>
  <c r="H65" i="4"/>
  <c r="G65" i="4"/>
  <c r="H162" i="4"/>
  <c r="G162" i="4"/>
  <c r="I120" i="4"/>
  <c r="J120" i="4" s="1"/>
  <c r="K120" i="4" s="1"/>
  <c r="F78" i="4"/>
  <c r="E106" i="4"/>
  <c r="C107" i="4" s="1"/>
  <c r="D106" i="4"/>
  <c r="B107" i="4" s="1"/>
  <c r="I106" i="4"/>
  <c r="J106" i="4" s="1"/>
  <c r="K106" i="4" s="1"/>
  <c r="E162" i="4"/>
  <c r="E148" i="4"/>
  <c r="F92" i="4"/>
  <c r="E38" i="4"/>
  <c r="F23" i="4"/>
  <c r="B121" i="4" l="1"/>
  <c r="C163" i="4"/>
  <c r="C149" i="4"/>
  <c r="C66" i="4"/>
  <c r="G51" i="4"/>
  <c r="G135" i="4"/>
  <c r="E135" i="4"/>
  <c r="C136" i="4" s="1"/>
  <c r="H38" i="4"/>
  <c r="C39" i="4" s="1"/>
  <c r="G148" i="4"/>
  <c r="H79" i="4"/>
  <c r="G79" i="4"/>
  <c r="H93" i="4"/>
  <c r="G93" i="4"/>
  <c r="I65" i="4"/>
  <c r="J65" i="4" s="1"/>
  <c r="K65" i="4" s="1"/>
  <c r="H24" i="4"/>
  <c r="G24" i="4"/>
  <c r="F106" i="4"/>
  <c r="E120" i="4"/>
  <c r="C121" i="4" s="1"/>
  <c r="I79" i="4"/>
  <c r="J79" i="4" s="1"/>
  <c r="K79" i="4" s="1"/>
  <c r="D65" i="4"/>
  <c r="B66" i="4" s="1"/>
  <c r="D79" i="4"/>
  <c r="I135" i="4"/>
  <c r="J135" i="4" s="1"/>
  <c r="K135" i="4" s="1"/>
  <c r="D135" i="4"/>
  <c r="I51" i="4"/>
  <c r="J51" i="4" s="1"/>
  <c r="K51" i="4" s="1"/>
  <c r="D51" i="4"/>
  <c r="I148" i="4"/>
  <c r="J148" i="4" s="1"/>
  <c r="K148" i="4" s="1"/>
  <c r="D148" i="4"/>
  <c r="E51" i="4"/>
  <c r="C52" i="4" s="1"/>
  <c r="D162" i="4"/>
  <c r="F162" i="4" s="1"/>
  <c r="I162" i="4"/>
  <c r="J162" i="4" s="1"/>
  <c r="K162" i="4" s="1"/>
  <c r="D182" i="4"/>
  <c r="B183" i="4" s="1"/>
  <c r="I182" i="4"/>
  <c r="J182" i="4" s="1"/>
  <c r="E182" i="4"/>
  <c r="C183" i="4" s="1"/>
  <c r="D38" i="4"/>
  <c r="B39" i="4" s="1"/>
  <c r="I38" i="4"/>
  <c r="J38" i="4" s="1"/>
  <c r="K38" i="4" s="1"/>
  <c r="B136" i="4" l="1"/>
  <c r="B52" i="4"/>
  <c r="B163" i="4"/>
  <c r="B149" i="4"/>
  <c r="B80" i="4"/>
  <c r="F135" i="4"/>
  <c r="H136" i="4" s="1"/>
  <c r="F148" i="4"/>
  <c r="G149" i="4" s="1"/>
  <c r="F120" i="4"/>
  <c r="H121" i="4" s="1"/>
  <c r="F65" i="4"/>
  <c r="H66" i="4" s="1"/>
  <c r="H107" i="4"/>
  <c r="G107" i="4"/>
  <c r="H163" i="4"/>
  <c r="G163" i="4"/>
  <c r="F51" i="4"/>
  <c r="D121" i="4"/>
  <c r="E121" i="4"/>
  <c r="E79" i="4"/>
  <c r="C80" i="4" s="1"/>
  <c r="E66" i="4"/>
  <c r="D107" i="4"/>
  <c r="I107" i="4"/>
  <c r="J107" i="4" s="1"/>
  <c r="K107" i="4" s="1"/>
  <c r="E136" i="4"/>
  <c r="C137" i="4" s="1"/>
  <c r="E163" i="4"/>
  <c r="I93" i="4"/>
  <c r="J93" i="4" s="1"/>
  <c r="K93" i="4" s="1"/>
  <c r="D93" i="4"/>
  <c r="B94" i="4" s="1"/>
  <c r="E93" i="4"/>
  <c r="C94" i="4" s="1"/>
  <c r="E149" i="4"/>
  <c r="D66" i="4"/>
  <c r="I66" i="4"/>
  <c r="J66" i="4" s="1"/>
  <c r="K66" i="4" s="1"/>
  <c r="E107" i="4"/>
  <c r="F182" i="4"/>
  <c r="F38" i="4"/>
  <c r="I24" i="4"/>
  <c r="J24" i="4" s="1"/>
  <c r="K24" i="4" s="1"/>
  <c r="D24" i="4"/>
  <c r="B25" i="4" s="1"/>
  <c r="E24" i="4"/>
  <c r="C25" i="4" s="1"/>
  <c r="G121" i="4" l="1"/>
  <c r="B122" i="4" s="1"/>
  <c r="C164" i="4"/>
  <c r="C67" i="4"/>
  <c r="C122" i="4"/>
  <c r="B108" i="4"/>
  <c r="C108" i="4"/>
  <c r="G66" i="4"/>
  <c r="B67" i="4" s="1"/>
  <c r="H149" i="4"/>
  <c r="C150" i="4" s="1"/>
  <c r="G136" i="4"/>
  <c r="F79" i="4"/>
  <c r="H80" i="4" s="1"/>
  <c r="H52" i="4"/>
  <c r="G52" i="4"/>
  <c r="H183" i="4"/>
  <c r="G183" i="4"/>
  <c r="H39" i="4"/>
  <c r="G39" i="4"/>
  <c r="F66" i="4"/>
  <c r="F121" i="4"/>
  <c r="I121" i="4"/>
  <c r="J121" i="4" s="1"/>
  <c r="K121" i="4" s="1"/>
  <c r="E52" i="4"/>
  <c r="I136" i="4"/>
  <c r="J136" i="4" s="1"/>
  <c r="K136" i="4" s="1"/>
  <c r="D136" i="4"/>
  <c r="I52" i="4"/>
  <c r="J52" i="4" s="1"/>
  <c r="K52" i="4" s="1"/>
  <c r="D52" i="4"/>
  <c r="D163" i="4"/>
  <c r="F163" i="4" s="1"/>
  <c r="I163" i="4"/>
  <c r="J163" i="4" s="1"/>
  <c r="K163" i="4" s="1"/>
  <c r="F93" i="4"/>
  <c r="I149" i="4"/>
  <c r="J149" i="4" s="1"/>
  <c r="K149" i="4" s="1"/>
  <c r="D149" i="4"/>
  <c r="F149" i="4" s="1"/>
  <c r="F107" i="4"/>
  <c r="F24" i="4"/>
  <c r="B137" i="4" l="1"/>
  <c r="B164" i="4"/>
  <c r="B150" i="4"/>
  <c r="B53" i="4"/>
  <c r="C53" i="4"/>
  <c r="G80" i="4"/>
  <c r="F136" i="4"/>
  <c r="G137" i="4" s="1"/>
  <c r="E122" i="4"/>
  <c r="G122" i="4"/>
  <c r="H122" i="4"/>
  <c r="E67" i="4"/>
  <c r="H67" i="4"/>
  <c r="G67" i="4"/>
  <c r="H150" i="4"/>
  <c r="G150" i="4"/>
  <c r="H94" i="4"/>
  <c r="G94" i="4"/>
  <c r="G164" i="4"/>
  <c r="H164" i="4"/>
  <c r="G108" i="4"/>
  <c r="H108" i="4"/>
  <c r="H25" i="4"/>
  <c r="G25" i="4"/>
  <c r="F52" i="4"/>
  <c r="E108" i="4"/>
  <c r="E137" i="4"/>
  <c r="E164" i="4"/>
  <c r="I122" i="4"/>
  <c r="J122" i="4" s="1"/>
  <c r="K122" i="4" s="1"/>
  <c r="D122" i="4"/>
  <c r="I80" i="4"/>
  <c r="J80" i="4" s="1"/>
  <c r="K80" i="4" s="1"/>
  <c r="D80" i="4"/>
  <c r="E150" i="4"/>
  <c r="E80" i="4"/>
  <c r="C81" i="4" s="1"/>
  <c r="E183" i="4"/>
  <c r="C184" i="4" s="1"/>
  <c r="D183" i="4"/>
  <c r="B184" i="4" s="1"/>
  <c r="I183" i="4"/>
  <c r="J183" i="4" s="1"/>
  <c r="D39" i="4"/>
  <c r="B40" i="4" s="1"/>
  <c r="N102" i="4"/>
  <c r="C151" i="4" l="1"/>
  <c r="B81" i="4"/>
  <c r="C109" i="4"/>
  <c r="C68" i="4"/>
  <c r="B123" i="4"/>
  <c r="C165" i="4"/>
  <c r="C123" i="4"/>
  <c r="F122" i="4"/>
  <c r="H123" i="4" s="1"/>
  <c r="H137" i="4"/>
  <c r="C138" i="4" s="1"/>
  <c r="G53" i="4"/>
  <c r="H53" i="4"/>
  <c r="D67" i="4"/>
  <c r="B68" i="4" s="1"/>
  <c r="I67" i="4"/>
  <c r="J67" i="4" s="1"/>
  <c r="K67" i="4" s="1"/>
  <c r="I137" i="4"/>
  <c r="J137" i="4" s="1"/>
  <c r="K137" i="4" s="1"/>
  <c r="D137" i="4"/>
  <c r="B138" i="4" s="1"/>
  <c r="D108" i="4"/>
  <c r="B109" i="4" s="1"/>
  <c r="I108" i="4"/>
  <c r="J108" i="4" s="1"/>
  <c r="K108" i="4" s="1"/>
  <c r="I53" i="4"/>
  <c r="J53" i="4" s="1"/>
  <c r="K53" i="4" s="1"/>
  <c r="D53" i="4"/>
  <c r="F80" i="4"/>
  <c r="E53" i="4"/>
  <c r="D150" i="4"/>
  <c r="B151" i="4" s="1"/>
  <c r="I150" i="4"/>
  <c r="J150" i="4" s="1"/>
  <c r="K150" i="4" s="1"/>
  <c r="D94" i="4"/>
  <c r="B95" i="4" s="1"/>
  <c r="I94" i="4"/>
  <c r="J94" i="4" s="1"/>
  <c r="K94" i="4" s="1"/>
  <c r="E25" i="4"/>
  <c r="C26" i="4" s="1"/>
  <c r="O102" i="4"/>
  <c r="E94" i="4"/>
  <c r="C95" i="4" s="1"/>
  <c r="E39" i="4"/>
  <c r="C40" i="4" s="1"/>
  <c r="D164" i="4"/>
  <c r="B165" i="4" s="1"/>
  <c r="I164" i="4"/>
  <c r="J164" i="4" s="1"/>
  <c r="K164" i="4" s="1"/>
  <c r="F183" i="4"/>
  <c r="I39" i="4"/>
  <c r="J39" i="4" s="1"/>
  <c r="K39" i="4" s="1"/>
  <c r="D25" i="4"/>
  <c r="B26" i="4" s="1"/>
  <c r="I25" i="4"/>
  <c r="J25" i="4" s="1"/>
  <c r="K25" i="4" s="1"/>
  <c r="C54" i="4" l="1"/>
  <c r="B54" i="4"/>
  <c r="E123" i="4"/>
  <c r="C124" i="4" s="1"/>
  <c r="F137" i="4"/>
  <c r="F164" i="4"/>
  <c r="H165" i="4" s="1"/>
  <c r="G123" i="4"/>
  <c r="F67" i="4"/>
  <c r="G68" i="4" s="1"/>
  <c r="F150" i="4"/>
  <c r="G151" i="4" s="1"/>
  <c r="F108" i="4"/>
  <c r="G109" i="4" s="1"/>
  <c r="G138" i="4"/>
  <c r="H138" i="4"/>
  <c r="H184" i="4"/>
  <c r="G184" i="4"/>
  <c r="D68" i="4"/>
  <c r="H81" i="4"/>
  <c r="G81" i="4"/>
  <c r="F53" i="4"/>
  <c r="E109" i="4"/>
  <c r="F94" i="4"/>
  <c r="E165" i="4"/>
  <c r="C166" i="4" s="1"/>
  <c r="I123" i="4"/>
  <c r="J123" i="4" s="1"/>
  <c r="K123" i="4" s="1"/>
  <c r="D123" i="4"/>
  <c r="E138" i="4"/>
  <c r="E151" i="4"/>
  <c r="E184" i="4"/>
  <c r="E68" i="4"/>
  <c r="F39" i="4"/>
  <c r="F25" i="4"/>
  <c r="C139" i="4" l="1"/>
  <c r="B69" i="4"/>
  <c r="C185" i="4"/>
  <c r="G165" i="4"/>
  <c r="F123" i="4"/>
  <c r="H124" i="4" s="1"/>
  <c r="B124" i="4"/>
  <c r="H68" i="4"/>
  <c r="C69" i="4" s="1"/>
  <c r="H151" i="4"/>
  <c r="C152" i="4" s="1"/>
  <c r="H109" i="4"/>
  <c r="C110" i="4" s="1"/>
  <c r="I68" i="4"/>
  <c r="J68" i="4" s="1"/>
  <c r="K68" i="4" s="1"/>
  <c r="H40" i="4"/>
  <c r="G40" i="4"/>
  <c r="G95" i="4"/>
  <c r="H95" i="4"/>
  <c r="G54" i="4"/>
  <c r="H54" i="4"/>
  <c r="H26" i="4"/>
  <c r="G26" i="4"/>
  <c r="D151" i="4"/>
  <c r="B152" i="4" s="1"/>
  <c r="I151" i="4"/>
  <c r="J151" i="4" s="1"/>
  <c r="K151" i="4" s="1"/>
  <c r="I81" i="4"/>
  <c r="J81" i="4" s="1"/>
  <c r="K81" i="4" s="1"/>
  <c r="D81" i="4"/>
  <c r="B82" i="4" s="1"/>
  <c r="D138" i="4"/>
  <c r="B139" i="4" s="1"/>
  <c r="I138" i="4"/>
  <c r="J138" i="4" s="1"/>
  <c r="K138" i="4" s="1"/>
  <c r="I109" i="4"/>
  <c r="J109" i="4" s="1"/>
  <c r="K109" i="4" s="1"/>
  <c r="D109" i="4"/>
  <c r="B110" i="4" s="1"/>
  <c r="I165" i="4"/>
  <c r="J165" i="4" s="1"/>
  <c r="K165" i="4" s="1"/>
  <c r="D165" i="4"/>
  <c r="E81" i="4"/>
  <c r="C82" i="4" s="1"/>
  <c r="E124" i="4"/>
  <c r="I184" i="4"/>
  <c r="J184" i="4" s="1"/>
  <c r="D184" i="4"/>
  <c r="B185" i="4" s="1"/>
  <c r="F68" i="4"/>
  <c r="N116" i="4"/>
  <c r="G124" i="4" l="1"/>
  <c r="C125" i="4"/>
  <c r="F165" i="4"/>
  <c r="B166" i="4"/>
  <c r="F109" i="4"/>
  <c r="H110" i="4" s="1"/>
  <c r="F151" i="4"/>
  <c r="G152" i="4" s="1"/>
  <c r="F138" i="4"/>
  <c r="H139" i="4" s="1"/>
  <c r="F184" i="4"/>
  <c r="H185" i="4" s="1"/>
  <c r="H166" i="4"/>
  <c r="G166" i="4"/>
  <c r="H69" i="4"/>
  <c r="G69" i="4"/>
  <c r="I124" i="4"/>
  <c r="J124" i="4" s="1"/>
  <c r="K124" i="4" s="1"/>
  <c r="D124" i="4"/>
  <c r="D54" i="4"/>
  <c r="B55" i="4" s="1"/>
  <c r="I54" i="4"/>
  <c r="J54" i="4" s="1"/>
  <c r="K54" i="4" s="1"/>
  <c r="F81" i="4"/>
  <c r="E95" i="4"/>
  <c r="C96" i="4" s="1"/>
  <c r="E26" i="4"/>
  <c r="C27" i="4" s="1"/>
  <c r="O116" i="4"/>
  <c r="E166" i="4"/>
  <c r="E54" i="4"/>
  <c r="C55" i="4" s="1"/>
  <c r="I95" i="4"/>
  <c r="J95" i="4" s="1"/>
  <c r="K95" i="4" s="1"/>
  <c r="D95" i="4"/>
  <c r="B96" i="4" s="1"/>
  <c r="E110" i="4"/>
  <c r="E139" i="4"/>
  <c r="E152" i="4"/>
  <c r="D40" i="4"/>
  <c r="B41" i="4" s="1"/>
  <c r="D26" i="4"/>
  <c r="B27" i="4" s="1"/>
  <c r="I26" i="4"/>
  <c r="J26" i="4" s="1"/>
  <c r="K26" i="4" s="1"/>
  <c r="B125" i="4" l="1"/>
  <c r="C167" i="4"/>
  <c r="H152" i="4"/>
  <c r="C153" i="4" s="1"/>
  <c r="C111" i="4"/>
  <c r="C140" i="4"/>
  <c r="G185" i="4"/>
  <c r="G110" i="4"/>
  <c r="G139" i="4"/>
  <c r="F124" i="4"/>
  <c r="G125" i="4" s="1"/>
  <c r="H82" i="4"/>
  <c r="G82" i="4"/>
  <c r="F26" i="4"/>
  <c r="F54" i="4"/>
  <c r="D139" i="4"/>
  <c r="I139" i="4"/>
  <c r="J139" i="4" s="1"/>
  <c r="K139" i="4" s="1"/>
  <c r="F95" i="4"/>
  <c r="D152" i="4"/>
  <c r="I152" i="4"/>
  <c r="J152" i="4" s="1"/>
  <c r="K152" i="4" s="1"/>
  <c r="I110" i="4"/>
  <c r="J110" i="4" s="1"/>
  <c r="K110" i="4" s="1"/>
  <c r="D110" i="4"/>
  <c r="B111" i="4" s="1"/>
  <c r="E125" i="4"/>
  <c r="I166" i="4"/>
  <c r="J166" i="4" s="1"/>
  <c r="K166" i="4" s="1"/>
  <c r="D166" i="4"/>
  <c r="B167" i="4" s="1"/>
  <c r="E40" i="4"/>
  <c r="C41" i="4" s="1"/>
  <c r="E185" i="4"/>
  <c r="C186" i="4" s="1"/>
  <c r="D185" i="4"/>
  <c r="I185" i="4"/>
  <c r="J185" i="4" s="1"/>
  <c r="I40" i="4"/>
  <c r="J40" i="4" s="1"/>
  <c r="K40" i="4" s="1"/>
  <c r="D69" i="4"/>
  <c r="B70" i="4" s="1"/>
  <c r="I69" i="4"/>
  <c r="J69" i="4" s="1"/>
  <c r="E69" i="4"/>
  <c r="C70" i="4" s="1"/>
  <c r="E27" i="4"/>
  <c r="N130" i="4"/>
  <c r="H125" i="4" l="1"/>
  <c r="C126" i="4" s="1"/>
  <c r="B186" i="4"/>
  <c r="F152" i="4"/>
  <c r="H153" i="4" s="1"/>
  <c r="B153" i="4"/>
  <c r="B140" i="4"/>
  <c r="F166" i="4"/>
  <c r="G167" i="4" s="1"/>
  <c r="F139" i="4"/>
  <c r="H140" i="4" s="1"/>
  <c r="F40" i="4"/>
  <c r="G41" i="4" s="1"/>
  <c r="F110" i="4"/>
  <c r="H111" i="4" s="1"/>
  <c r="H27" i="4"/>
  <c r="C28" i="4" s="1"/>
  <c r="G27" i="4"/>
  <c r="H96" i="4"/>
  <c r="G96" i="4"/>
  <c r="H55" i="4"/>
  <c r="G55" i="4"/>
  <c r="E111" i="4"/>
  <c r="I55" i="4"/>
  <c r="J55" i="4" s="1"/>
  <c r="K55" i="4" s="1"/>
  <c r="D55" i="4"/>
  <c r="B56" i="4" s="1"/>
  <c r="O158" i="4"/>
  <c r="E55" i="4"/>
  <c r="D82" i="4"/>
  <c r="B83" i="4" s="1"/>
  <c r="I82" i="4"/>
  <c r="J82" i="4" s="1"/>
  <c r="K82" i="4" s="1"/>
  <c r="E96" i="4"/>
  <c r="E153" i="4"/>
  <c r="E82" i="4"/>
  <c r="C83" i="4" s="1"/>
  <c r="O172" i="4"/>
  <c r="O130" i="4"/>
  <c r="E167" i="4"/>
  <c r="D125" i="4"/>
  <c r="B126" i="4" s="1"/>
  <c r="I125" i="4"/>
  <c r="J125" i="4" s="1"/>
  <c r="K125" i="4" s="1"/>
  <c r="E140" i="4"/>
  <c r="F185" i="4"/>
  <c r="D27" i="4"/>
  <c r="K69" i="4"/>
  <c r="F69" i="4"/>
  <c r="I27" i="4"/>
  <c r="J27" i="4" s="1"/>
  <c r="K27" i="4" s="1"/>
  <c r="H41" i="4" l="1"/>
  <c r="C141" i="4"/>
  <c r="B28" i="4"/>
  <c r="N144" i="4" s="1"/>
  <c r="H167" i="4"/>
  <c r="G153" i="4"/>
  <c r="C168" i="4"/>
  <c r="C97" i="4"/>
  <c r="C154" i="4"/>
  <c r="G140" i="4"/>
  <c r="C112" i="4"/>
  <c r="C56" i="4"/>
  <c r="F125" i="4"/>
  <c r="G126" i="4" s="1"/>
  <c r="F82" i="4"/>
  <c r="G83" i="4" s="1"/>
  <c r="G111" i="4"/>
  <c r="F27" i="4"/>
  <c r="G28" i="4" s="1"/>
  <c r="H186" i="4"/>
  <c r="G186" i="4"/>
  <c r="H70" i="4"/>
  <c r="G70" i="4"/>
  <c r="Q172" i="4"/>
  <c r="N6" i="2" s="1"/>
  <c r="N12" i="8" s="1"/>
  <c r="D153" i="4"/>
  <c r="B154" i="4" s="1"/>
  <c r="I153" i="4"/>
  <c r="J153" i="4" s="1"/>
  <c r="K153" i="4" s="1"/>
  <c r="I140" i="4"/>
  <c r="J140" i="4" s="1"/>
  <c r="K140" i="4" s="1"/>
  <c r="D140" i="4"/>
  <c r="B141" i="4" s="1"/>
  <c r="E41" i="4"/>
  <c r="C42" i="4" s="1"/>
  <c r="D111" i="4"/>
  <c r="I111" i="4"/>
  <c r="J111" i="4" s="1"/>
  <c r="K111" i="4" s="1"/>
  <c r="E83" i="4"/>
  <c r="I96" i="4"/>
  <c r="J96" i="4" s="1"/>
  <c r="K96" i="4" s="1"/>
  <c r="D96" i="4"/>
  <c r="B97" i="4" s="1"/>
  <c r="D167" i="4"/>
  <c r="I167" i="4"/>
  <c r="J167" i="4" s="1"/>
  <c r="K167" i="4" s="1"/>
  <c r="F55" i="4"/>
  <c r="D186" i="4"/>
  <c r="B187" i="4" s="1"/>
  <c r="D41" i="4"/>
  <c r="B42" i="4" s="1"/>
  <c r="I41" i="4"/>
  <c r="J41" i="4" s="1"/>
  <c r="K41" i="4" s="1"/>
  <c r="B112" i="4" l="1"/>
  <c r="H126" i="4"/>
  <c r="H28" i="4"/>
  <c r="F167" i="4"/>
  <c r="G168" i="4" s="1"/>
  <c r="B168" i="4"/>
  <c r="F111" i="4"/>
  <c r="H112" i="4" s="1"/>
  <c r="D126" i="4"/>
  <c r="B127" i="4" s="1"/>
  <c r="F41" i="4"/>
  <c r="H42" i="4" s="1"/>
  <c r="F140" i="4"/>
  <c r="H141" i="4" s="1"/>
  <c r="F96" i="4"/>
  <c r="H97" i="4" s="1"/>
  <c r="F153" i="4"/>
  <c r="H154" i="4" s="1"/>
  <c r="H83" i="4"/>
  <c r="C84" i="4" s="1"/>
  <c r="G56" i="4"/>
  <c r="H56" i="4"/>
  <c r="N13" i="2"/>
  <c r="N23" i="2" s="1"/>
  <c r="E112" i="4"/>
  <c r="I126" i="4"/>
  <c r="J126" i="4" s="1"/>
  <c r="K126" i="4" s="1"/>
  <c r="E126" i="4"/>
  <c r="E56" i="4"/>
  <c r="E141" i="4"/>
  <c r="E154" i="4"/>
  <c r="E168" i="4"/>
  <c r="E97" i="4"/>
  <c r="I83" i="4"/>
  <c r="J83" i="4" s="1"/>
  <c r="K83" i="4" s="1"/>
  <c r="D83" i="4"/>
  <c r="B84" i="4" s="1"/>
  <c r="I186" i="4"/>
  <c r="J186" i="4" s="1"/>
  <c r="E186" i="4"/>
  <c r="C187" i="4" s="1"/>
  <c r="E42" i="4"/>
  <c r="D70" i="4"/>
  <c r="B71" i="4" s="1"/>
  <c r="I70" i="4"/>
  <c r="J70" i="4" s="1"/>
  <c r="E70" i="4"/>
  <c r="C71" i="4" s="1"/>
  <c r="O144" i="4"/>
  <c r="H168" i="4" l="1"/>
  <c r="C169" i="4" s="1"/>
  <c r="C127" i="4"/>
  <c r="E127" i="4" s="1"/>
  <c r="C57" i="4"/>
  <c r="C113" i="4"/>
  <c r="C43" i="4"/>
  <c r="C155" i="4"/>
  <c r="G154" i="4"/>
  <c r="G112" i="4"/>
  <c r="G97" i="4"/>
  <c r="C98" i="4"/>
  <c r="G42" i="4"/>
  <c r="F83" i="4"/>
  <c r="H84" i="4" s="1"/>
  <c r="F126" i="4"/>
  <c r="G127" i="4" s="1"/>
  <c r="F186" i="4"/>
  <c r="G187" i="4" s="1"/>
  <c r="G141" i="4"/>
  <c r="D141" i="4"/>
  <c r="F141" i="4" s="1"/>
  <c r="I141" i="4"/>
  <c r="J141" i="4" s="1"/>
  <c r="K141" i="4" s="1"/>
  <c r="D56" i="4"/>
  <c r="B57" i="4" s="1"/>
  <c r="I56" i="4"/>
  <c r="J56" i="4" s="1"/>
  <c r="K56" i="4" s="1"/>
  <c r="E84" i="4"/>
  <c r="I97" i="4"/>
  <c r="J97" i="4" s="1"/>
  <c r="K97" i="4" s="1"/>
  <c r="D97" i="4"/>
  <c r="D112" i="4"/>
  <c r="I112" i="4"/>
  <c r="J112" i="4" s="1"/>
  <c r="K112" i="4" s="1"/>
  <c r="I168" i="4"/>
  <c r="J168" i="4" s="1"/>
  <c r="K168" i="4" s="1"/>
  <c r="D168" i="4"/>
  <c r="B169" i="4" s="1"/>
  <c r="D154" i="4"/>
  <c r="I154" i="4"/>
  <c r="J154" i="4" s="1"/>
  <c r="K154" i="4" s="1"/>
  <c r="D42" i="4"/>
  <c r="I42" i="4"/>
  <c r="J42" i="4" s="1"/>
  <c r="K42" i="4" s="1"/>
  <c r="K70" i="4"/>
  <c r="F70" i="4"/>
  <c r="D28" i="4"/>
  <c r="B29" i="4" s="1"/>
  <c r="I28" i="4"/>
  <c r="J28" i="4" s="1"/>
  <c r="K28" i="4" s="1"/>
  <c r="E28" i="4"/>
  <c r="C29" i="4" s="1"/>
  <c r="B98" i="4" l="1"/>
  <c r="B155" i="4"/>
  <c r="C85" i="4"/>
  <c r="B43" i="4"/>
  <c r="F112" i="4"/>
  <c r="H113" i="4" s="1"/>
  <c r="B113" i="4"/>
  <c r="H127" i="4"/>
  <c r="F154" i="4"/>
  <c r="H155" i="4" s="1"/>
  <c r="H187" i="4"/>
  <c r="G84" i="4"/>
  <c r="F97" i="4"/>
  <c r="G98" i="4" s="1"/>
  <c r="F56" i="4"/>
  <c r="H57" i="4" s="1"/>
  <c r="F168" i="4"/>
  <c r="G169" i="4" s="1"/>
  <c r="H71" i="4"/>
  <c r="G71" i="4"/>
  <c r="E169" i="4"/>
  <c r="D84" i="4"/>
  <c r="I84" i="4"/>
  <c r="J84" i="4" s="1"/>
  <c r="K84" i="4" s="1"/>
  <c r="I127" i="4"/>
  <c r="J127" i="4" s="1"/>
  <c r="K127" i="4" s="1"/>
  <c r="D127" i="4"/>
  <c r="F127" i="4" s="1"/>
  <c r="E155" i="4"/>
  <c r="E57" i="4"/>
  <c r="E113" i="4"/>
  <c r="E98" i="4"/>
  <c r="M186" i="4"/>
  <c r="M158" i="4" s="1"/>
  <c r="E187" i="4"/>
  <c r="M176" i="4"/>
  <c r="M18" i="4" s="1"/>
  <c r="M177" i="4"/>
  <c r="M32" i="4" s="1"/>
  <c r="M178" i="4"/>
  <c r="M46" i="4" s="1"/>
  <c r="M179" i="4"/>
  <c r="M60" i="4" s="1"/>
  <c r="M180" i="4"/>
  <c r="M74" i="4" s="1"/>
  <c r="M181" i="4"/>
  <c r="M88" i="4" s="1"/>
  <c r="M185" i="4"/>
  <c r="M144" i="4" s="1"/>
  <c r="M182" i="4"/>
  <c r="M102" i="4" s="1"/>
  <c r="M184" i="4"/>
  <c r="M130" i="4" s="1"/>
  <c r="M183" i="4"/>
  <c r="M116" i="4" s="1"/>
  <c r="I187" i="4"/>
  <c r="J187" i="4" s="1"/>
  <c r="L186" i="4"/>
  <c r="L158" i="4" s="1"/>
  <c r="D187" i="4"/>
  <c r="F187" i="4" s="1"/>
  <c r="L176" i="4"/>
  <c r="L18" i="4" s="1"/>
  <c r="P18" i="4" s="1"/>
  <c r="C4" i="2" s="1"/>
  <c r="C11" i="8" s="1"/>
  <c r="L177" i="4"/>
  <c r="L32" i="4" s="1"/>
  <c r="P32" i="4" s="1"/>
  <c r="D4" i="2" s="1"/>
  <c r="D11" i="8" s="1"/>
  <c r="L178" i="4"/>
  <c r="L46" i="4" s="1"/>
  <c r="P46" i="4" s="1"/>
  <c r="E4" i="2" s="1"/>
  <c r="E11" i="8" s="1"/>
  <c r="L179" i="4"/>
  <c r="L60" i="4" s="1"/>
  <c r="P60" i="4" s="1"/>
  <c r="F4" i="2" s="1"/>
  <c r="F11" i="8" s="1"/>
  <c r="L180" i="4"/>
  <c r="L74" i="4" s="1"/>
  <c r="P74" i="4" s="1"/>
  <c r="G4" i="2" s="1"/>
  <c r="G11" i="8" s="1"/>
  <c r="L183" i="4"/>
  <c r="L116" i="4" s="1"/>
  <c r="P116" i="4" s="1"/>
  <c r="J4" i="2" s="1"/>
  <c r="J11" i="8" s="1"/>
  <c r="L184" i="4"/>
  <c r="L130" i="4" s="1"/>
  <c r="P130" i="4" s="1"/>
  <c r="K4" i="2" s="1"/>
  <c r="K11" i="8" s="1"/>
  <c r="L182" i="4"/>
  <c r="L102" i="4" s="1"/>
  <c r="P102" i="4" s="1"/>
  <c r="I4" i="2" s="1"/>
  <c r="I11" i="8" s="1"/>
  <c r="L185" i="4"/>
  <c r="L144" i="4" s="1"/>
  <c r="P144" i="4" s="1"/>
  <c r="L4" i="2" s="1"/>
  <c r="L11" i="8" s="1"/>
  <c r="L181" i="4"/>
  <c r="L88" i="4" s="1"/>
  <c r="P88" i="4" s="1"/>
  <c r="H4" i="2" s="1"/>
  <c r="H11" i="8" s="1"/>
  <c r="E71" i="4"/>
  <c r="F42" i="4"/>
  <c r="F28" i="4"/>
  <c r="H169" i="4" l="1"/>
  <c r="G113" i="4"/>
  <c r="G155" i="4"/>
  <c r="H98" i="4"/>
  <c r="C99" i="4" s="1"/>
  <c r="F84" i="4"/>
  <c r="G85" i="4" s="1"/>
  <c r="B85" i="4"/>
  <c r="G57" i="4"/>
  <c r="G29" i="4"/>
  <c r="H29" i="4"/>
  <c r="H43" i="4"/>
  <c r="G43" i="4"/>
  <c r="H85" i="4"/>
  <c r="Q74" i="4"/>
  <c r="G6" i="2" s="1"/>
  <c r="G12" i="8" s="1"/>
  <c r="G13" i="8" s="1"/>
  <c r="Q46" i="4"/>
  <c r="E6" i="2" s="1"/>
  <c r="E12" i="8" s="1"/>
  <c r="E13" i="8" s="1"/>
  <c r="Q32" i="4"/>
  <c r="D6" i="2" s="1"/>
  <c r="D12" i="8" s="1"/>
  <c r="D13" i="8" s="1"/>
  <c r="Q158" i="4"/>
  <c r="M6" i="2" s="1"/>
  <c r="M12" i="8" s="1"/>
  <c r="Q18" i="4"/>
  <c r="C6" i="2" s="1"/>
  <c r="C12" i="8" s="1"/>
  <c r="C13" i="8" s="1"/>
  <c r="Q88" i="4"/>
  <c r="H6" i="2" s="1"/>
  <c r="H12" i="8" s="1"/>
  <c r="H13" i="8" s="1"/>
  <c r="Q60" i="4"/>
  <c r="F6" i="2" s="1"/>
  <c r="F12" i="8" s="1"/>
  <c r="F13" i="8" s="1"/>
  <c r="Q130" i="4"/>
  <c r="K6" i="2" s="1"/>
  <c r="K12" i="8" s="1"/>
  <c r="K13" i="8" s="1"/>
  <c r="Q102" i="4"/>
  <c r="I6" i="2" s="1"/>
  <c r="I12" i="8" s="1"/>
  <c r="I13" i="8" s="1"/>
  <c r="Q116" i="4"/>
  <c r="J6" i="2" s="1"/>
  <c r="J12" i="8" s="1"/>
  <c r="J13" i="8" s="1"/>
  <c r="Q144" i="4"/>
  <c r="L6" i="2" s="1"/>
  <c r="L12" i="8" s="1"/>
  <c r="L13" i="8" s="1"/>
  <c r="D11" i="2"/>
  <c r="D22" i="2"/>
  <c r="E11" i="2"/>
  <c r="E22" i="2"/>
  <c r="D98" i="4"/>
  <c r="B99" i="4" s="1"/>
  <c r="I98" i="4"/>
  <c r="J98" i="4" s="1"/>
  <c r="K98" i="4" s="1"/>
  <c r="I155" i="4"/>
  <c r="J155" i="4" s="1"/>
  <c r="K155" i="4" s="1"/>
  <c r="D155" i="4"/>
  <c r="F155" i="4" s="1"/>
  <c r="I11" i="2"/>
  <c r="I22" i="2"/>
  <c r="J22" i="2"/>
  <c r="J11" i="2"/>
  <c r="I113" i="4"/>
  <c r="J113" i="4" s="1"/>
  <c r="K113" i="4" s="1"/>
  <c r="D113" i="4"/>
  <c r="F113" i="4" s="1"/>
  <c r="E85" i="4"/>
  <c r="D57" i="4"/>
  <c r="F57" i="4" s="1"/>
  <c r="I57" i="4"/>
  <c r="J57" i="4" s="1"/>
  <c r="K57" i="4" s="1"/>
  <c r="H22" i="2"/>
  <c r="H11" i="2"/>
  <c r="L22" i="2"/>
  <c r="L11" i="2"/>
  <c r="C11" i="2"/>
  <c r="C22" i="2"/>
  <c r="K22" i="2"/>
  <c r="K11" i="2"/>
  <c r="G22" i="2"/>
  <c r="G11" i="2"/>
  <c r="F22" i="2"/>
  <c r="F11" i="2"/>
  <c r="I169" i="4"/>
  <c r="J169" i="4" s="1"/>
  <c r="K169" i="4" s="1"/>
  <c r="D169" i="4"/>
  <c r="F169" i="4" s="1"/>
  <c r="N172" i="4"/>
  <c r="P172" i="4" s="1"/>
  <c r="N4" i="2" s="1"/>
  <c r="N11" i="8" s="1"/>
  <c r="N13" i="8" s="1"/>
  <c r="D71" i="4"/>
  <c r="F71" i="4" s="1"/>
  <c r="I71" i="4"/>
  <c r="J71" i="4" s="1"/>
  <c r="K71" i="4" s="1"/>
  <c r="N158" i="4"/>
  <c r="P158" i="4" s="1"/>
  <c r="M4" i="2" s="1"/>
  <c r="M11" i="8" s="1"/>
  <c r="M13" i="8" s="1"/>
  <c r="H21" i="8" l="1"/>
  <c r="H22" i="8" s="1"/>
  <c r="C21" i="8"/>
  <c r="F21" i="8"/>
  <c r="G21" i="8"/>
  <c r="E21" i="8"/>
  <c r="D21" i="8"/>
  <c r="F98" i="4"/>
  <c r="H99" i="4" s="1"/>
  <c r="L7" i="2"/>
  <c r="L66" i="2" s="1"/>
  <c r="L13" i="2"/>
  <c r="L23" i="2" s="1"/>
  <c r="L24" i="2" s="1"/>
  <c r="J13" i="2"/>
  <c r="J23" i="2" s="1"/>
  <c r="J24" i="2" s="1"/>
  <c r="J7" i="2"/>
  <c r="J66" i="2" s="1"/>
  <c r="F13" i="2"/>
  <c r="F23" i="2" s="1"/>
  <c r="F24" i="2" s="1"/>
  <c r="F7" i="2"/>
  <c r="F66" i="2" s="1"/>
  <c r="M13" i="2"/>
  <c r="M23" i="2" s="1"/>
  <c r="E7" i="2"/>
  <c r="E13" i="2"/>
  <c r="E23" i="2" s="1"/>
  <c r="E24" i="2" s="1"/>
  <c r="I13" i="2"/>
  <c r="I23" i="2" s="1"/>
  <c r="I24" i="2" s="1"/>
  <c r="I7" i="2"/>
  <c r="K13" i="2"/>
  <c r="K23" i="2" s="1"/>
  <c r="K24" i="2" s="1"/>
  <c r="K7" i="2"/>
  <c r="H13" i="2"/>
  <c r="H23" i="2" s="1"/>
  <c r="H24" i="2" s="1"/>
  <c r="H7" i="2"/>
  <c r="C7" i="2"/>
  <c r="C13" i="2"/>
  <c r="C23" i="2" s="1"/>
  <c r="C24" i="2" s="1"/>
  <c r="D13" i="2"/>
  <c r="D23" i="2" s="1"/>
  <c r="D24" i="2" s="1"/>
  <c r="D7" i="2"/>
  <c r="D66" i="2" s="1"/>
  <c r="G13" i="2"/>
  <c r="G23" i="2" s="1"/>
  <c r="G24" i="2" s="1"/>
  <c r="G7" i="2"/>
  <c r="N7" i="2"/>
  <c r="N66" i="2" s="1"/>
  <c r="N22" i="2"/>
  <c r="N24" i="2" s="1"/>
  <c r="N11" i="2"/>
  <c r="N14" i="2" s="1"/>
  <c r="N15" i="2" s="1"/>
  <c r="N67" i="2" s="1"/>
  <c r="M22" i="2"/>
  <c r="M11" i="2"/>
  <c r="M7" i="2"/>
  <c r="I85" i="4"/>
  <c r="J85" i="4" s="1"/>
  <c r="K85" i="4" s="1"/>
  <c r="D85" i="4"/>
  <c r="F85" i="4" s="1"/>
  <c r="E99" i="4"/>
  <c r="D43" i="4"/>
  <c r="I43" i="4"/>
  <c r="M66" i="2" l="1"/>
  <c r="G5" i="10"/>
  <c r="G4" i="10"/>
  <c r="E4" i="10"/>
  <c r="E5" i="10"/>
  <c r="C69" i="2"/>
  <c r="B36" i="1" s="1"/>
  <c r="C4" i="10"/>
  <c r="C5" i="10"/>
  <c r="B5" i="10"/>
  <c r="B4" i="10"/>
  <c r="F4" i="10"/>
  <c r="F5" i="10"/>
  <c r="D4" i="10"/>
  <c r="D5" i="10"/>
  <c r="K66" i="2"/>
  <c r="G69" i="2"/>
  <c r="B40" i="1" s="1"/>
  <c r="H66" i="2"/>
  <c r="E69" i="2"/>
  <c r="B38" i="1" s="1"/>
  <c r="I66" i="2"/>
  <c r="F69" i="2"/>
  <c r="B39" i="1" s="1"/>
  <c r="D69" i="2"/>
  <c r="B37" i="1" s="1"/>
  <c r="G66" i="2"/>
  <c r="E66" i="2"/>
  <c r="B69" i="2"/>
  <c r="B35" i="1" s="1"/>
  <c r="C66" i="2"/>
  <c r="H27" i="8"/>
  <c r="G176" i="3" s="1"/>
  <c r="K36" i="1" s="1"/>
  <c r="D27" i="2"/>
  <c r="G27" i="2"/>
  <c r="F27" i="2"/>
  <c r="E27" i="2"/>
  <c r="C27" i="2"/>
  <c r="G99" i="4"/>
  <c r="D22" i="8"/>
  <c r="D27" i="8"/>
  <c r="C176" i="3" s="1"/>
  <c r="E22" i="8"/>
  <c r="E27" i="8"/>
  <c r="D176" i="3" s="1"/>
  <c r="G22" i="8"/>
  <c r="G27" i="8"/>
  <c r="F176" i="3" s="1"/>
  <c r="F22" i="8"/>
  <c r="F27" i="8"/>
  <c r="E176" i="3" s="1"/>
  <c r="C22" i="8"/>
  <c r="C27" i="8"/>
  <c r="B176" i="3" s="1"/>
  <c r="G14" i="2"/>
  <c r="G15" i="2" s="1"/>
  <c r="D3" i="10" s="1"/>
  <c r="H14" i="2"/>
  <c r="H15" i="2" s="1"/>
  <c r="D14" i="2"/>
  <c r="D15" i="2" s="1"/>
  <c r="D67" i="2" s="1"/>
  <c r="L14" i="2"/>
  <c r="L15" i="2" s="1"/>
  <c r="L67" i="2" s="1"/>
  <c r="E14" i="2"/>
  <c r="E15" i="2" s="1"/>
  <c r="J14" i="2"/>
  <c r="J15" i="2" s="1"/>
  <c r="J67" i="2" s="1"/>
  <c r="I14" i="2"/>
  <c r="I15" i="2" s="1"/>
  <c r="E3" i="10" s="1"/>
  <c r="M14" i="2"/>
  <c r="M15" i="2" s="1"/>
  <c r="F14" i="2"/>
  <c r="F15" i="2" s="1"/>
  <c r="C14" i="2"/>
  <c r="C15" i="2" s="1"/>
  <c r="B3" i="10" s="1"/>
  <c r="M24" i="2"/>
  <c r="H27" i="2" s="1"/>
  <c r="K14" i="2"/>
  <c r="K15" i="2" s="1"/>
  <c r="F3" i="10" s="1"/>
  <c r="I99" i="4"/>
  <c r="J99" i="4" s="1"/>
  <c r="K99" i="4" s="1"/>
  <c r="D99" i="4"/>
  <c r="F99" i="4" s="1"/>
  <c r="E29" i="4"/>
  <c r="J43" i="4"/>
  <c r="K43" i="4" s="1"/>
  <c r="E43" i="4"/>
  <c r="F43" i="4" s="1"/>
  <c r="I29" i="4"/>
  <c r="J29" i="4" s="1"/>
  <c r="K29" i="4" s="1"/>
  <c r="D29" i="4"/>
  <c r="C70" i="2" l="1"/>
  <c r="C36" i="1" s="1"/>
  <c r="C3" i="10"/>
  <c r="M67" i="2"/>
  <c r="G3" i="10"/>
  <c r="B70" i="2"/>
  <c r="C35" i="1" s="1"/>
  <c r="E70" i="2"/>
  <c r="C38" i="1" s="1"/>
  <c r="I67" i="2"/>
  <c r="F70" i="2"/>
  <c r="C39" i="1" s="1"/>
  <c r="D70" i="2"/>
  <c r="C37" i="1" s="1"/>
  <c r="K67" i="2"/>
  <c r="G70" i="2"/>
  <c r="C40" i="1" s="1"/>
  <c r="C67" i="2"/>
  <c r="C32" i="8"/>
  <c r="E28" i="2"/>
  <c r="E31" i="8"/>
  <c r="E33" i="8" s="1"/>
  <c r="E35" i="8" s="1"/>
  <c r="G28" i="2"/>
  <c r="G31" i="8"/>
  <c r="G33" i="8" s="1"/>
  <c r="G35" i="8" s="1"/>
  <c r="H67" i="2"/>
  <c r="H32" i="8"/>
  <c r="G67" i="2"/>
  <c r="G32" i="8"/>
  <c r="F67" i="2"/>
  <c r="F32" i="8"/>
  <c r="D28" i="2"/>
  <c r="D31" i="8"/>
  <c r="D33" i="8" s="1"/>
  <c r="D35" i="8" s="1"/>
  <c r="C31" i="8"/>
  <c r="C33" i="8" s="1"/>
  <c r="C35" i="8" s="1"/>
  <c r="C28" i="2"/>
  <c r="G21" i="1" s="1"/>
  <c r="H28" i="2"/>
  <c r="H31" i="8"/>
  <c r="H33" i="8" s="1"/>
  <c r="H35" i="8" s="1"/>
  <c r="F28" i="2"/>
  <c r="F31" i="8"/>
  <c r="F33" i="8" s="1"/>
  <c r="F35" i="8" s="1"/>
  <c r="E67" i="2"/>
  <c r="D32" i="8"/>
  <c r="E32" i="8"/>
  <c r="F36" i="1"/>
  <c r="C30" i="8"/>
  <c r="H36" i="1"/>
  <c r="G36" i="1"/>
  <c r="I36" i="1"/>
  <c r="J36" i="1"/>
  <c r="F30" i="8"/>
  <c r="D30" i="8"/>
  <c r="H30" i="8"/>
  <c r="E30" i="8"/>
  <c r="G30" i="8"/>
  <c r="F29" i="4"/>
  <c r="F21" i="1" l="1"/>
  <c r="F26" i="1" s="1"/>
  <c r="K21" i="1"/>
  <c r="J21" i="1"/>
  <c r="J26" i="1" s="1"/>
  <c r="I21" i="1"/>
  <c r="I26" i="1" s="1"/>
  <c r="F4" i="6" s="1"/>
  <c r="H21" i="1"/>
  <c r="H26" i="1" s="1"/>
  <c r="G26" i="1"/>
  <c r="K26" i="1" l="1"/>
  <c r="H4" i="6" s="1"/>
  <c r="G4" i="6"/>
  <c r="F5" i="5" s="1"/>
  <c r="E4" i="6"/>
  <c r="D4" i="6"/>
  <c r="D5" i="5" l="1"/>
  <c r="G5" i="5"/>
  <c r="E5" i="5"/>
  <c r="C4" i="6" l="1"/>
  <c r="B5" i="5" s="1"/>
  <c r="C5" i="5" l="1"/>
  <c r="B6" i="5"/>
  <c r="C21" i="7" l="1"/>
  <c r="G23" i="7" s="1"/>
  <c r="E169" i="3" l="1"/>
  <c r="F30" i="7"/>
  <c r="D177" i="3" s="1"/>
  <c r="H37" i="1" s="1"/>
  <c r="F26" i="7"/>
  <c r="D172" i="3" s="1"/>
  <c r="H32" i="1" s="1"/>
  <c r="E26" i="7"/>
  <c r="C172" i="3" s="1"/>
  <c r="G32" i="1" s="1"/>
  <c r="F31" i="7"/>
  <c r="D178" i="3" s="1"/>
  <c r="H38" i="1" s="1"/>
  <c r="I26" i="7"/>
  <c r="G172" i="3" s="1"/>
  <c r="K32" i="1" s="1"/>
  <c r="F25" i="7"/>
  <c r="D171" i="3" s="1"/>
  <c r="H31" i="1" s="1"/>
  <c r="I27" i="7"/>
  <c r="G173" i="3" s="1"/>
  <c r="K33" i="1" s="1"/>
  <c r="H30" i="7"/>
  <c r="F177" i="3" s="1"/>
  <c r="J37" i="1" s="1"/>
  <c r="B174" i="3"/>
  <c r="F34" i="1" s="1"/>
  <c r="G29" i="7"/>
  <c r="E175" i="3" s="1"/>
  <c r="I35" i="1" s="1"/>
  <c r="D26" i="7"/>
  <c r="B172" i="3" s="1"/>
  <c r="F32" i="1" s="1"/>
  <c r="F174" i="3"/>
  <c r="J34" i="1" s="1"/>
  <c r="I23" i="7"/>
  <c r="E174" i="3"/>
  <c r="I34" i="1" s="1"/>
  <c r="I29" i="7"/>
  <c r="G175" i="3" s="1"/>
  <c r="K35" i="1" s="1"/>
  <c r="I30" i="7"/>
  <c r="G177" i="3" s="1"/>
  <c r="K37" i="1" s="1"/>
  <c r="D29" i="7"/>
  <c r="B175" i="3" s="1"/>
  <c r="F35" i="1" s="1"/>
  <c r="E31" i="7"/>
  <c r="C178" i="3" s="1"/>
  <c r="G38" i="1" s="1"/>
  <c r="C173" i="3"/>
  <c r="G33" i="1" s="1"/>
  <c r="F173" i="3"/>
  <c r="J33" i="1" s="1"/>
  <c r="G24" i="7"/>
  <c r="E170" i="3" s="1"/>
  <c r="I30" i="1" s="1"/>
  <c r="E173" i="3"/>
  <c r="I33" i="1" s="1"/>
  <c r="E29" i="7"/>
  <c r="C175" i="3" s="1"/>
  <c r="G35" i="1" s="1"/>
  <c r="H29" i="7"/>
  <c r="F175" i="3" s="1"/>
  <c r="J35" i="1" s="1"/>
  <c r="I29" i="1"/>
  <c r="D24" i="7"/>
  <c r="B170" i="3" s="1"/>
  <c r="F30" i="1" s="1"/>
  <c r="H23" i="7"/>
  <c r="F29" i="7"/>
  <c r="D175" i="3" s="1"/>
  <c r="H35" i="1" s="1"/>
  <c r="G25" i="7"/>
  <c r="E171" i="3" s="1"/>
  <c r="I31" i="1" s="1"/>
  <c r="I31" i="7"/>
  <c r="G178" i="3" s="1"/>
  <c r="K38" i="1" s="1"/>
  <c r="E23" i="7"/>
  <c r="D31" i="7"/>
  <c r="B178" i="3" s="1"/>
  <c r="F38" i="1" s="1"/>
  <c r="D25" i="7"/>
  <c r="B171" i="3" s="1"/>
  <c r="F31" i="1" s="1"/>
  <c r="E24" i="7"/>
  <c r="C170" i="3" s="1"/>
  <c r="G30" i="1" s="1"/>
  <c r="F24" i="7"/>
  <c r="D170" i="3" s="1"/>
  <c r="H30" i="1" s="1"/>
  <c r="H26" i="7"/>
  <c r="F172" i="3" s="1"/>
  <c r="J32" i="1" s="1"/>
  <c r="I25" i="7"/>
  <c r="G171" i="3" s="1"/>
  <c r="K31" i="1" s="1"/>
  <c r="E25" i="7"/>
  <c r="C171" i="3" s="1"/>
  <c r="G31" i="1" s="1"/>
  <c r="H31" i="7"/>
  <c r="F178" i="3" s="1"/>
  <c r="J38" i="1" s="1"/>
  <c r="B173" i="3"/>
  <c r="F33" i="1" s="1"/>
  <c r="C174" i="3"/>
  <c r="G34" i="1" s="1"/>
  <c r="E30" i="7"/>
  <c r="C177" i="3" s="1"/>
  <c r="G37" i="1" s="1"/>
  <c r="D173" i="3"/>
  <c r="H33" i="1" s="1"/>
  <c r="D174" i="3"/>
  <c r="H34" i="1" s="1"/>
  <c r="G30" i="7"/>
  <c r="E177" i="3" s="1"/>
  <c r="I37" i="1" s="1"/>
  <c r="G31" i="7"/>
  <c r="E178" i="3" s="1"/>
  <c r="I38" i="1" s="1"/>
  <c r="G26" i="7"/>
  <c r="E172" i="3" s="1"/>
  <c r="I32" i="1" s="1"/>
  <c r="H25" i="7"/>
  <c r="F171" i="3" s="1"/>
  <c r="J31" i="1" s="1"/>
  <c r="H24" i="7"/>
  <c r="F170" i="3" s="1"/>
  <c r="J30" i="1" s="1"/>
  <c r="I24" i="7"/>
  <c r="G170" i="3" s="1"/>
  <c r="K30" i="1" s="1"/>
  <c r="G174" i="3"/>
  <c r="K34" i="1" s="1"/>
  <c r="F23" i="7"/>
  <c r="D30" i="7"/>
  <c r="B177" i="3" s="1"/>
  <c r="F37" i="1" s="1"/>
  <c r="G169" i="3" l="1"/>
  <c r="K29" i="1" s="1"/>
  <c r="F169" i="3"/>
  <c r="J29" i="1" s="1"/>
  <c r="D169" i="3"/>
  <c r="C169" i="3"/>
  <c r="H29" i="1"/>
  <c r="G29" i="1" l="1"/>
  <c r="F29" i="1"/>
  <c r="E32" i="7" l="1"/>
  <c r="E33" i="7" s="1"/>
  <c r="E35" i="7" s="1"/>
  <c r="G33" i="7"/>
  <c r="G35" i="7" s="1"/>
  <c r="H32" i="7"/>
  <c r="F179" i="3" s="1"/>
  <c r="F32" i="7"/>
  <c r="F33" i="7" s="1"/>
  <c r="F35" i="7" s="1"/>
  <c r="D179" i="3"/>
  <c r="D180" i="3" s="1"/>
  <c r="G32" i="7"/>
  <c r="E179" i="3" s="1"/>
  <c r="I32" i="7"/>
  <c r="G179" i="3" s="1"/>
  <c r="C33" i="7"/>
  <c r="D32" i="7"/>
  <c r="D33" i="7" s="1"/>
  <c r="D35" i="7" s="1"/>
  <c r="J39" i="1" l="1"/>
  <c r="J40" i="1" s="1"/>
  <c r="J42" i="1" s="1"/>
  <c r="F8" i="10" s="1"/>
  <c r="F180" i="3"/>
  <c r="H33" i="7"/>
  <c r="H35" i="7" s="1"/>
  <c r="H39" i="1"/>
  <c r="H40" i="1" s="1"/>
  <c r="C179" i="3"/>
  <c r="G39" i="1" s="1"/>
  <c r="G40" i="1" s="1"/>
  <c r="I33" i="7"/>
  <c r="I35" i="7" s="1"/>
  <c r="E180" i="3"/>
  <c r="I39" i="1"/>
  <c r="I40" i="1" s="1"/>
  <c r="K39" i="1"/>
  <c r="K40" i="1" s="1"/>
  <c r="G180" i="3"/>
  <c r="C180" i="3"/>
  <c r="B179" i="3"/>
  <c r="G7" i="10" l="1"/>
  <c r="H15" i="6"/>
  <c r="E7" i="10"/>
  <c r="F15" i="6"/>
  <c r="G42" i="1"/>
  <c r="C8" i="10" s="1"/>
  <c r="C7" i="10"/>
  <c r="D15" i="6"/>
  <c r="D18" i="6" s="1"/>
  <c r="D7" i="10"/>
  <c r="E15" i="6"/>
  <c r="F7" i="10"/>
  <c r="G15" i="6"/>
  <c r="G18" i="6" s="1"/>
  <c r="H42" i="1"/>
  <c r="D8" i="10" s="1"/>
  <c r="K42" i="1"/>
  <c r="G8" i="10" s="1"/>
  <c r="F4" i="5"/>
  <c r="G21" i="6"/>
  <c r="I42" i="1"/>
  <c r="E8" i="10" s="1"/>
  <c r="F39" i="1"/>
  <c r="F40" i="1" s="1"/>
  <c r="B180" i="3"/>
  <c r="C4" i="5" l="1"/>
  <c r="D21" i="6"/>
  <c r="B7" i="10"/>
  <c r="C15" i="6"/>
  <c r="D4" i="5"/>
  <c r="E21" i="6"/>
  <c r="E18" i="6"/>
  <c r="D9" i="5"/>
  <c r="E4" i="5"/>
  <c r="F21" i="6"/>
  <c r="F18" i="6"/>
  <c r="E9" i="5"/>
  <c r="G9" i="5"/>
  <c r="H18" i="6"/>
  <c r="F42" i="1"/>
  <c r="B8" i="10" s="1"/>
  <c r="F9" i="5"/>
  <c r="H21" i="6"/>
  <c r="G4" i="5"/>
  <c r="B9" i="5" l="1"/>
  <c r="C18" i="6"/>
  <c r="C9" i="5"/>
  <c r="C21" i="6"/>
  <c r="B4" i="5"/>
  <c r="B14" i="5" s="1"/>
  <c r="C3" i="6" l="1"/>
  <c r="C6" i="6" s="1"/>
  <c r="C13" i="6" s="1"/>
  <c r="C19" i="6" s="1"/>
  <c r="C20" i="6" s="1"/>
  <c r="C22" i="6" s="1"/>
  <c r="F45" i="1"/>
  <c r="G44" i="1" s="1"/>
  <c r="B18" i="5"/>
  <c r="C3" i="5"/>
  <c r="B20" i="5" l="1"/>
  <c r="B22" i="5"/>
  <c r="C14" i="5"/>
  <c r="D3" i="6" l="1"/>
  <c r="D6" i="6" s="1"/>
  <c r="D13" i="6" s="1"/>
  <c r="D19" i="6" s="1"/>
  <c r="D20" i="6" s="1"/>
  <c r="D22" i="6" s="1"/>
  <c r="D3" i="5"/>
  <c r="G45" i="1"/>
  <c r="H44" i="1" s="1"/>
  <c r="C18" i="5"/>
  <c r="D14" i="5" l="1"/>
  <c r="C20" i="5"/>
  <c r="C22" i="5"/>
  <c r="H45" i="1" l="1"/>
  <c r="I44" i="1" s="1"/>
  <c r="E3" i="5"/>
  <c r="E3" i="6"/>
  <c r="E6" i="6" s="1"/>
  <c r="E13" i="6" s="1"/>
  <c r="E19" i="6" s="1"/>
  <c r="E20" i="6" s="1"/>
  <c r="E22" i="6" s="1"/>
  <c r="D18" i="5"/>
  <c r="D22" i="5" l="1"/>
  <c r="D20" i="5"/>
  <c r="E14" i="5"/>
  <c r="F3" i="5" l="1"/>
  <c r="I45" i="1"/>
  <c r="J44" i="1" s="1"/>
  <c r="F3" i="6"/>
  <c r="F6" i="6" s="1"/>
  <c r="F13" i="6" s="1"/>
  <c r="F19" i="6" s="1"/>
  <c r="F20" i="6" s="1"/>
  <c r="F22" i="6" s="1"/>
  <c r="E18" i="5"/>
  <c r="E20" i="5" l="1"/>
  <c r="E22" i="5"/>
  <c r="F14" i="5"/>
  <c r="G3" i="6" l="1"/>
  <c r="G6" i="6" s="1"/>
  <c r="G13" i="6" s="1"/>
  <c r="G19" i="6" s="1"/>
  <c r="G20" i="6" s="1"/>
  <c r="G22" i="6" s="1"/>
  <c r="J45" i="1"/>
  <c r="K44" i="1" s="1"/>
  <c r="G3" i="5"/>
  <c r="F18" i="5"/>
  <c r="F22" i="5" l="1"/>
  <c r="F20" i="5"/>
  <c r="G14" i="5"/>
  <c r="H3" i="6" l="1"/>
  <c r="H6" i="6" s="1"/>
  <c r="H13" i="6" s="1"/>
  <c r="H19" i="6" s="1"/>
  <c r="H20" i="6" s="1"/>
  <c r="H22" i="6" s="1"/>
  <c r="K45" i="1"/>
  <c r="G18" i="5"/>
  <c r="G22" i="5" l="1"/>
  <c r="G20" i="5"/>
</calcChain>
</file>

<file path=xl/sharedStrings.xml><?xml version="1.0" encoding="utf-8"?>
<sst xmlns="http://schemas.openxmlformats.org/spreadsheetml/2006/main" count="624" uniqueCount="350">
  <si>
    <t>Planning Variables</t>
  </si>
  <si>
    <t>Inflation Rate</t>
  </si>
  <si>
    <t>Income Statement</t>
  </si>
  <si>
    <t>Base year, Fall</t>
  </si>
  <si>
    <t>Instruction</t>
  </si>
  <si>
    <t>Plant Operations</t>
  </si>
  <si>
    <t>Fall to Fall New Student Rate Change</t>
  </si>
  <si>
    <t>Initial Faculty Count</t>
  </si>
  <si>
    <t>Initial Staff Count</t>
  </si>
  <si>
    <t>Initial Average Faculty Salary</t>
  </si>
  <si>
    <t>Faculty Benefit Rate</t>
  </si>
  <si>
    <t>Initial Average Staff Salary</t>
  </si>
  <si>
    <t>Staff Benefit Rate</t>
  </si>
  <si>
    <t>Initial Non-personnel</t>
  </si>
  <si>
    <t>Benefits</t>
  </si>
  <si>
    <t>Nonpersonnel</t>
  </si>
  <si>
    <t>Faculty Count</t>
  </si>
  <si>
    <t>Staff Count</t>
  </si>
  <si>
    <t>Average Salary, Faculty</t>
  </si>
  <si>
    <t>Average Salary, Staff</t>
  </si>
  <si>
    <t>Added Staff</t>
  </si>
  <si>
    <t>Inflation</t>
  </si>
  <si>
    <t>Total Expense</t>
  </si>
  <si>
    <t>Net Asset Change</t>
  </si>
  <si>
    <t>Growth of Incoming Class</t>
  </si>
  <si>
    <t>Above Inflation</t>
  </si>
  <si>
    <t>Tuition Rate Change</t>
  </si>
  <si>
    <t>Added Persons/Year</t>
  </si>
  <si>
    <t>Full-time Faculty Change</t>
  </si>
  <si>
    <t>Full-time Staff Change</t>
  </si>
  <si>
    <t>As % of Salaries</t>
  </si>
  <si>
    <t>Growth of % of Salaries</t>
  </si>
  <si>
    <t>Nonpersonnel Expense Rate Change</t>
  </si>
  <si>
    <t>Faculty</t>
  </si>
  <si>
    <t>% Change above Inflation</t>
  </si>
  <si>
    <t>New students, Full-time</t>
  </si>
  <si>
    <t>Continuing students, Full-time</t>
  </si>
  <si>
    <t>New students, Part-time</t>
  </si>
  <si>
    <t>Continuing students, Part-time</t>
  </si>
  <si>
    <t>Conversions</t>
  </si>
  <si>
    <t>Headcount                                                                              Semester</t>
  </si>
  <si>
    <t>Fa-Sp %</t>
  </si>
  <si>
    <t>Headcount Total</t>
  </si>
  <si>
    <t>Credit Loads</t>
  </si>
  <si>
    <t>Full-time</t>
  </si>
  <si>
    <t>Part-time</t>
  </si>
  <si>
    <t>Total</t>
  </si>
  <si>
    <t>Average</t>
  </si>
  <si>
    <t>Academic FTE</t>
  </si>
  <si>
    <t>Gross Tuition Revenue</t>
  </si>
  <si>
    <t>Part-time per credit</t>
  </si>
  <si>
    <t>Full-time, per headcount</t>
  </si>
  <si>
    <t>"What if" Variables</t>
  </si>
  <si>
    <t>Annual</t>
  </si>
  <si>
    <t>Annual Rate of Change</t>
  </si>
  <si>
    <t>Full-time Students</t>
  </si>
  <si>
    <t>Part-time Students</t>
  </si>
  <si>
    <t>% of Students on Scholarship</t>
  </si>
  <si>
    <t>Unfunded Scholarship Expense</t>
  </si>
  <si>
    <t>Growth of Gifts</t>
  </si>
  <si>
    <t>Growth of Miscellaneous Revenue</t>
  </si>
  <si>
    <t>Added Faculty Annually</t>
  </si>
  <si>
    <t>Full-Time</t>
  </si>
  <si>
    <t>Part-Time</t>
  </si>
  <si>
    <t>Full-time Benefit Rate</t>
  </si>
  <si>
    <t>Part-time Benefit Rate</t>
  </si>
  <si>
    <t>Part-time Faculty Change</t>
  </si>
  <si>
    <t>Part-time Staff Change</t>
  </si>
  <si>
    <t>Full-time Faculty Salary Rate Change</t>
  </si>
  <si>
    <t>Part-time Faculty Salary Rate Change</t>
  </si>
  <si>
    <t>Full-time Staff Salary Rate Change</t>
  </si>
  <si>
    <t>Part-time Staff Salary Rate Change</t>
  </si>
  <si>
    <t>Salary Expense</t>
  </si>
  <si>
    <t>Benefit Rate, % of Salaries</t>
  </si>
  <si>
    <t>Full-time Benefit Rate Change</t>
  </si>
  <si>
    <t>Part-time Benefit Rate Change</t>
  </si>
  <si>
    <t>Nonpersonnel "Bumps"</t>
  </si>
  <si>
    <t>Faculty "Bumps"</t>
  </si>
  <si>
    <t>Staff "Bumps"</t>
  </si>
  <si>
    <t>Gift "Bumps"</t>
  </si>
  <si>
    <t>New student growth:</t>
  </si>
  <si>
    <t>Grad</t>
  </si>
  <si>
    <t>FT Enrollment</t>
  </si>
  <si>
    <t>PT Enrollment</t>
  </si>
  <si>
    <t>DO Cum</t>
  </si>
  <si>
    <t>Grad Cum</t>
  </si>
  <si>
    <t>FT to Grad</t>
  </si>
  <si>
    <t>PT to Grad</t>
  </si>
  <si>
    <t>FT to PT end</t>
  </si>
  <si>
    <t>PT to FT end</t>
  </si>
  <si>
    <t>FT to DO end</t>
  </si>
  <si>
    <t>PT to DO end</t>
  </si>
  <si>
    <t>PT DO end</t>
  </si>
  <si>
    <t>FT DO end</t>
  </si>
  <si>
    <t>DI to FT end</t>
  </si>
  <si>
    <t>DI to PT end</t>
  </si>
  <si>
    <t>Grad Rate</t>
  </si>
  <si>
    <t>Semester</t>
  </si>
  <si>
    <t xml:space="preserve"> </t>
  </si>
  <si>
    <t>Semester After 1st Attend</t>
  </si>
  <si>
    <t>FT</t>
  </si>
  <si>
    <t>PT</t>
  </si>
  <si>
    <t>Second semester</t>
  </si>
  <si>
    <t>Third semester</t>
  </si>
  <si>
    <t>Fourth semester</t>
  </si>
  <si>
    <t>Fifth semester</t>
  </si>
  <si>
    <t>Original Continuing Students</t>
  </si>
  <si>
    <t>Sixth semester</t>
  </si>
  <si>
    <t>Seventh semester</t>
  </si>
  <si>
    <t>Eighth semester</t>
  </si>
  <si>
    <t>Ninth semester</t>
  </si>
  <si>
    <t>Tenth semester</t>
  </si>
  <si>
    <t>Eleventh semester</t>
  </si>
  <si>
    <t>Remaining from original continuing</t>
  </si>
  <si>
    <t>2-11 semesters</t>
  </si>
  <si>
    <t>3-11 semesters</t>
  </si>
  <si>
    <t>4-11 semesters</t>
  </si>
  <si>
    <t>5-11 semesters</t>
  </si>
  <si>
    <t>6-11 semesters</t>
  </si>
  <si>
    <t>7-11 semesters</t>
  </si>
  <si>
    <t>8-11 semesters</t>
  </si>
  <si>
    <t>9-11 semesters</t>
  </si>
  <si>
    <t>10-11 semesters</t>
  </si>
  <si>
    <t>Twelth semester</t>
  </si>
  <si>
    <t>11-12  semester</t>
  </si>
  <si>
    <t>12th semester</t>
  </si>
  <si>
    <t>Original continuing</t>
  </si>
  <si>
    <t>Total Continuing</t>
  </si>
  <si>
    <t>Previous recurring new</t>
  </si>
  <si>
    <t>Headcount students/Headcount faculty</t>
  </si>
  <si>
    <t>Headcount faculty</t>
  </si>
  <si>
    <t>Ave. PT Faculty FTE</t>
  </si>
  <si>
    <t>FTE Teaching Faculty</t>
  </si>
  <si>
    <t>Student academic FTE/Teaching faculty FTE</t>
  </si>
  <si>
    <t>Year ending</t>
  </si>
  <si>
    <t>Beginning cash</t>
  </si>
  <si>
    <t>Year beginning</t>
  </si>
  <si>
    <t>Depreciation and other non-cash charges</t>
  </si>
  <si>
    <t>Cash, beginning</t>
  </si>
  <si>
    <t>Cash, ending</t>
  </si>
  <si>
    <t>Investment rate of return</t>
  </si>
  <si>
    <t>Line of credit interest rate</t>
  </si>
  <si>
    <t>Average cash/investment position</t>
  </si>
  <si>
    <t>Line of credit interest expense</t>
  </si>
  <si>
    <t>(Includes line of credit interest from Cash tab)</t>
  </si>
  <si>
    <t>Annual, above Inflation</t>
  </si>
  <si>
    <t>Cash</t>
  </si>
  <si>
    <t>Accounts receivable</t>
  </si>
  <si>
    <t>% Revenues receivable</t>
  </si>
  <si>
    <t>Other current assets</t>
  </si>
  <si>
    <t>Total Current Assets</t>
  </si>
  <si>
    <t>Total Long-term Assets</t>
  </si>
  <si>
    <t>Short-term liabilities</t>
  </si>
  <si>
    <t>% Expenses unpaid</t>
  </si>
  <si>
    <t>Ending cash</t>
  </si>
  <si>
    <t>New borrowing</t>
  </si>
  <si>
    <t>Repayment</t>
  </si>
  <si>
    <t>Beginning long-term debt</t>
  </si>
  <si>
    <t>Ending long-term debt</t>
  </si>
  <si>
    <t>Bond repayment</t>
  </si>
  <si>
    <t>Increase to fixed assets</t>
  </si>
  <si>
    <t>Change in net assets, Balance Sheet</t>
  </si>
  <si>
    <t>Change in net assets, Income Statement</t>
  </si>
  <si>
    <t>Error</t>
  </si>
  <si>
    <t>Further Inputs</t>
  </si>
  <si>
    <t>Balance Sheet</t>
  </si>
  <si>
    <t>One-time added gift in 2023</t>
  </si>
  <si>
    <t>DI Cum to FT end</t>
  </si>
  <si>
    <t>DI Cum to PT end</t>
  </si>
  <si>
    <t>Year End:</t>
  </si>
  <si>
    <t>Tuition and fees (net D01)</t>
  </si>
  <si>
    <t>Federal appropriations (D02)</t>
  </si>
  <si>
    <t>State appropriations (D03)</t>
  </si>
  <si>
    <t>Local appropriations (D04)</t>
  </si>
  <si>
    <t>Federal grants and contracts (D05)</t>
  </si>
  <si>
    <t>State grants and contracts (D06)</t>
  </si>
  <si>
    <t>Local grants and contracts (D07)</t>
  </si>
  <si>
    <t>Private gifts (D08a)</t>
  </si>
  <si>
    <t>Private grants and contracts (D08b)</t>
  </si>
  <si>
    <t>Contributions from affiliated entities (D09)</t>
  </si>
  <si>
    <t>Investment returns (D10)</t>
  </si>
  <si>
    <t>Sales and services of educational activities (D11)</t>
  </si>
  <si>
    <t>Hospital revenue (D13)</t>
  </si>
  <si>
    <t>Independent operations revenue (D14)</t>
  </si>
  <si>
    <t>Other revenue (D15)</t>
  </si>
  <si>
    <t>Total revenues and investment return (D16)</t>
  </si>
  <si>
    <t>Research (E02)</t>
  </si>
  <si>
    <t>Instruction (E01)</t>
  </si>
  <si>
    <t>Public service (E03)</t>
  </si>
  <si>
    <t>Academic support (E04)</t>
  </si>
  <si>
    <t>Student services (E05)</t>
  </si>
  <si>
    <t>Institutional support (E06)</t>
  </si>
  <si>
    <t>Auxiliary enterprises (E07)</t>
  </si>
  <si>
    <t>Hospital services (E09)</t>
  </si>
  <si>
    <t>Net grant aid to students (E08)</t>
  </si>
  <si>
    <t>Independent operatons</t>
  </si>
  <si>
    <t>Other functional expenses and deductons (E11)</t>
  </si>
  <si>
    <t>Independent operatons (E10)</t>
  </si>
  <si>
    <t>Total expenses and deductions (E13)</t>
  </si>
  <si>
    <t>Long-term investments (A01)</t>
  </si>
  <si>
    <t>Property, plant, and equipment (net A19)</t>
  </si>
  <si>
    <t>Intangible assets (net A20)</t>
  </si>
  <si>
    <t>Total Assets (A02)</t>
  </si>
  <si>
    <t>Total Liabilities (A03)</t>
  </si>
  <si>
    <t>Debt related to property, plant, and equipment (A03a)</t>
  </si>
  <si>
    <t>Unrestricted net assets (A04)</t>
  </si>
  <si>
    <t>Land and land improvements (A11)</t>
  </si>
  <si>
    <t>Buildings (A12)</t>
  </si>
  <si>
    <t>Equipment, including art and library collections (A13)</t>
  </si>
  <si>
    <t>Construction in progress (A15)</t>
  </si>
  <si>
    <t>Other (A16)</t>
  </si>
  <si>
    <t>Total plant, property, and equipment (A17)</t>
  </si>
  <si>
    <t>Accumulated depreciation (A18)</t>
  </si>
  <si>
    <t>Property, Plant, and Equipment (net A19)</t>
  </si>
  <si>
    <t>Plant Expense Allocation</t>
  </si>
  <si>
    <t>Research</t>
  </si>
  <si>
    <t>Public service</t>
  </si>
  <si>
    <t>Student services</t>
  </si>
  <si>
    <t>Academic support</t>
  </si>
  <si>
    <t>Institutional support</t>
  </si>
  <si>
    <t>Auxiliary enterprises</t>
  </si>
  <si>
    <t>Net grant aid to students</t>
  </si>
  <si>
    <t>Hospital services</t>
  </si>
  <si>
    <t>Staff</t>
  </si>
  <si>
    <t>Total expenses and deductions</t>
  </si>
  <si>
    <t>Sqare Ft.</t>
  </si>
  <si>
    <t>Other</t>
  </si>
  <si>
    <t>Total allocated</t>
  </si>
  <si>
    <t>Plant Expense to be Allocated by:</t>
  </si>
  <si>
    <t>Total Expense before plant allocation</t>
  </si>
  <si>
    <t>Pell grants (C01)</t>
  </si>
  <si>
    <t>Other federal grants (C02)</t>
  </si>
  <si>
    <t>Grants by state government (C03)</t>
  </si>
  <si>
    <t>Grants by local government (C04)</t>
  </si>
  <si>
    <t>Institutional grants (restricted C05)</t>
  </si>
  <si>
    <t>Institutional grants (unrestricted C06)</t>
  </si>
  <si>
    <t>Total revenue that funds scholarships and fellowships (C07)</t>
  </si>
  <si>
    <t>Discounts &amp; allowances applied to tuition and fees (C08)</t>
  </si>
  <si>
    <t>Total discounts and allowances (C10)</t>
  </si>
  <si>
    <t>Growth</t>
  </si>
  <si>
    <t>Scholarships &amp; Fellowships</t>
  </si>
  <si>
    <t>Sales and services of auxiliary enterprises (net D12)</t>
  </si>
  <si>
    <t>Tuition revenue net of discounts &amp; allow.</t>
  </si>
  <si>
    <t>Annual  tuition revenue</t>
  </si>
  <si>
    <t>Federal appropriations</t>
  </si>
  <si>
    <t>State appropriations</t>
  </si>
  <si>
    <t>Local appropriations</t>
  </si>
  <si>
    <t>Federal grants and contracts</t>
  </si>
  <si>
    <t>State grants and contracts</t>
  </si>
  <si>
    <t>Local grants and contracts</t>
  </si>
  <si>
    <t>Growth %</t>
  </si>
  <si>
    <t>Unrestricted Only</t>
  </si>
  <si>
    <t>Private gifts</t>
  </si>
  <si>
    <t>Private grants and contracts</t>
  </si>
  <si>
    <t>Contributions from affiliated entities</t>
  </si>
  <si>
    <t>Investment returns</t>
  </si>
  <si>
    <t>Sales and services of educational activities</t>
  </si>
  <si>
    <t>Sales and services of auxiliary enterprises (net)</t>
  </si>
  <si>
    <t>Hospital revenue</t>
  </si>
  <si>
    <t>Independent operations revenue</t>
  </si>
  <si>
    <t>Other revenue</t>
  </si>
  <si>
    <t>Residence hall capacity "bumps"</t>
  </si>
  <si>
    <t>Residence hall capacity</t>
  </si>
  <si>
    <t>% Capacity residence halls filled</t>
  </si>
  <si>
    <t>Gross auxiliary revenues</t>
  </si>
  <si>
    <t>Other revenue "Bumps"</t>
  </si>
  <si>
    <t>Bumps:</t>
  </si>
  <si>
    <t>Auxiliary rev. discounts &amp; allowances</t>
  </si>
  <si>
    <t>Discounts &amp; allowances applied to auxiliaries revenue (C09)</t>
  </si>
  <si>
    <t>Tuition analysis</t>
  </si>
  <si>
    <t>Unrestricted tuition discount %</t>
  </si>
  <si>
    <t>Out of pocket $/FTE-paying student</t>
  </si>
  <si>
    <t>Perceived discount</t>
  </si>
  <si>
    <t>Revenues</t>
  </si>
  <si>
    <t>Long-term Investments (including endowment)</t>
  </si>
  <si>
    <t>Market value</t>
  </si>
  <si>
    <t>Estimated total return %</t>
  </si>
  <si>
    <t>Estimated market total return %</t>
  </si>
  <si>
    <t>Payout rate %</t>
  </si>
  <si>
    <t>Of 3-yr. rolling mkt. ave.</t>
  </si>
  <si>
    <t>Total return</t>
  </si>
  <si>
    <t xml:space="preserve">Payout </t>
  </si>
  <si>
    <t>Unrestricted earnings</t>
  </si>
  <si>
    <t>Unrestricted payout</t>
  </si>
  <si>
    <t>Change in long-term investments</t>
  </si>
  <si>
    <t>Assumed life</t>
  </si>
  <si>
    <t>Additions to equipment</t>
  </si>
  <si>
    <t>Additions to other</t>
  </si>
  <si>
    <t>(Includes depreciation from Plant tab)</t>
  </si>
  <si>
    <t>Frozen Pond College</t>
  </si>
  <si>
    <t>Year end:</t>
  </si>
  <si>
    <t>Long-term investment earnings</t>
  </si>
  <si>
    <t>Total investment earnings</t>
  </si>
  <si>
    <t>Tuition Rates (average)</t>
  </si>
  <si>
    <t>Unrestricted grants and contract revenues</t>
  </si>
  <si>
    <t>Endowment support</t>
  </si>
  <si>
    <t>Total Operating Revenue</t>
  </si>
  <si>
    <t>Total Nonoperating Revenue</t>
  </si>
  <si>
    <t>Unrestricted Operating</t>
  </si>
  <si>
    <t>Unrestricted Nonoperating</t>
  </si>
  <si>
    <t>Intangible assets</t>
  </si>
  <si>
    <t>Change in accounts receivable</t>
  </si>
  <si>
    <t>Change in other current assets</t>
  </si>
  <si>
    <t>Annual % change in other current assets</t>
  </si>
  <si>
    <t>Change in net assets</t>
  </si>
  <si>
    <t>Input value for short-term invest earnings</t>
  </si>
  <si>
    <t>Input value for line of credit interest exp.</t>
  </si>
  <si>
    <t>1st semester full-time student drop out rate</t>
  </si>
  <si>
    <t>plus inflation</t>
  </si>
  <si>
    <t>Annual Rate (no inflation)</t>
  </si>
  <si>
    <r>
      <t xml:space="preserve"> </t>
    </r>
    <r>
      <rPr>
        <b/>
        <u/>
        <sz val="11"/>
        <color theme="1"/>
        <rFont val="Calibri"/>
        <family val="2"/>
        <scheme val="minor"/>
      </rPr>
      <t>Revenue</t>
    </r>
    <r>
      <rPr>
        <b/>
        <sz val="11"/>
        <color theme="1"/>
        <rFont val="Calibri"/>
        <family val="2"/>
        <scheme val="minor"/>
      </rPr>
      <t xml:space="preserve">     Year Ending:</t>
    </r>
  </si>
  <si>
    <t xml:space="preserve"> Unrestricted Expenses</t>
  </si>
  <si>
    <t>Auxiliary Income</t>
  </si>
  <si>
    <t>Average dorm &amp; dining revenue/resident/yr.</t>
  </si>
  <si>
    <t>Total unrestricted grants, discounts and allowanaces</t>
  </si>
  <si>
    <t>Actual average annual academic FTE</t>
  </si>
  <si>
    <t># of FTE-paying students (Gross tuition/annual FT tuition rate)</t>
  </si>
  <si>
    <t>Actual annual FT tuition rate</t>
  </si>
  <si>
    <t>Change in short-term liabilities</t>
  </si>
  <si>
    <t>Change in intangible assets</t>
  </si>
  <si>
    <t>Proportion of market value investments unrestricted</t>
  </si>
  <si>
    <t>Unrestricted market value</t>
  </si>
  <si>
    <t>Endowment Market Value</t>
  </si>
  <si>
    <r>
      <rPr>
        <b/>
        <u/>
        <sz val="11"/>
        <color theme="1"/>
        <rFont val="Calibri"/>
        <family val="2"/>
        <scheme val="minor"/>
      </rPr>
      <t>Annual</t>
    </r>
    <r>
      <rPr>
        <b/>
        <sz val="11"/>
        <color theme="1"/>
        <rFont val="Calibri"/>
        <family val="2"/>
        <scheme val="minor"/>
      </rPr>
      <t xml:space="preserve">                 Year ending:</t>
    </r>
  </si>
  <si>
    <t>Faculty heads</t>
  </si>
  <si>
    <t>Student heads</t>
  </si>
  <si>
    <t>Student FTE</t>
  </si>
  <si>
    <t>FTE</t>
  </si>
  <si>
    <t>Historical Endowment Market Values</t>
  </si>
  <si>
    <r>
      <rPr>
        <b/>
        <u/>
        <sz val="11"/>
        <color theme="1"/>
        <rFont val="Calibri"/>
        <family val="2"/>
        <scheme val="minor"/>
      </rPr>
      <t>Long-term debt</t>
    </r>
    <r>
      <rPr>
        <sz val="11"/>
        <color theme="1"/>
        <rFont val="Calibri"/>
        <family val="2"/>
        <scheme val="minor"/>
      </rPr>
      <t xml:space="preserve">                           Year End:</t>
    </r>
  </si>
  <si>
    <r>
      <rPr>
        <b/>
        <u/>
        <sz val="11"/>
        <color theme="1"/>
        <rFont val="Calibri"/>
        <family val="2"/>
        <scheme val="minor"/>
      </rPr>
      <t>Values &amp; Depreciation</t>
    </r>
    <r>
      <rPr>
        <b/>
        <sz val="11"/>
        <color theme="1"/>
        <rFont val="Calibri"/>
        <family val="2"/>
        <scheme val="minor"/>
      </rPr>
      <t xml:space="preserve">                       </t>
    </r>
    <r>
      <rPr>
        <sz val="11"/>
        <color theme="1"/>
        <rFont val="Calibri"/>
        <family val="2"/>
        <scheme val="minor"/>
      </rPr>
      <t xml:space="preserve"> Year end</t>
    </r>
    <r>
      <rPr>
        <b/>
        <sz val="11"/>
        <color theme="1"/>
        <rFont val="Calibri"/>
        <family val="2"/>
        <scheme val="minor"/>
      </rPr>
      <t>:</t>
    </r>
  </si>
  <si>
    <t>Sum</t>
  </si>
  <si>
    <t>Double check:</t>
  </si>
  <si>
    <t>Plant expense from Staffing:</t>
  </si>
  <si>
    <t>Short-term investment earnings</t>
  </si>
  <si>
    <t>Other functional expenses and deductions</t>
  </si>
  <si>
    <t>2022 Exp.</t>
  </si>
  <si>
    <t>Growth Rate (no inflation added)</t>
  </si>
  <si>
    <t>Growth of Median Scholarship</t>
  </si>
  <si>
    <t>Growth of % of Students on Scholarship</t>
  </si>
  <si>
    <t>Annual, as % of tuition</t>
  </si>
  <si>
    <t>Year Ending:</t>
  </si>
  <si>
    <t>Fall Student FTE/Faculty FTE</t>
  </si>
  <si>
    <t>Fall Students (heads)/FT Faculty</t>
  </si>
  <si>
    <t>Fall Students (heads)/FT Staff</t>
  </si>
  <si>
    <t>FT Faculty/FT Staff</t>
  </si>
  <si>
    <t>Expenses/Student FTE</t>
  </si>
  <si>
    <t>Net Asset Change/Revenues</t>
  </si>
  <si>
    <t>Average, assumed numbers of new full-time students recurring in all previous new student cohorts</t>
  </si>
  <si>
    <t>Average, assumed numbers of new part-time students recurring in all previous new student cohorts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</si>
</sst>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(* #,##0.0_);_(* \(#,##0.0\);_(* &quot;-&quot;?_);_(@_)"/>
    <numFmt numFmtId="168" formatCode="_(* #,##0_);_(* \(#,##0\);_(* &quot;-&quot;?_);_(@_)"/>
    <numFmt numFmtId="169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1">
    <xf numFmtId="0" fontId="0" fillId="0" borderId="0" xfId="0"/>
    <xf numFmtId="9" fontId="0" fillId="2" borderId="0" xfId="0" applyNumberFormat="1" applyFill="1"/>
    <xf numFmtId="164" fontId="0" fillId="3" borderId="2" xfId="1" applyNumberFormat="1" applyFont="1" applyFill="1" applyBorder="1"/>
    <xf numFmtId="0" fontId="0" fillId="3" borderId="2" xfId="0" applyFill="1" applyBorder="1"/>
    <xf numFmtId="164" fontId="0" fillId="4" borderId="0" xfId="1" applyNumberFormat="1" applyFont="1" applyFill="1"/>
    <xf numFmtId="164" fontId="0" fillId="4" borderId="1" xfId="1" applyNumberFormat="1" applyFont="1" applyFill="1" applyBorder="1"/>
    <xf numFmtId="164" fontId="0" fillId="4" borderId="0" xfId="0" applyNumberFormat="1" applyFill="1"/>
    <xf numFmtId="0" fontId="2" fillId="4" borderId="0" xfId="0" applyFont="1" applyFill="1" applyAlignment="1">
      <alignment horizontal="center"/>
    </xf>
    <xf numFmtId="0" fontId="0" fillId="5" borderId="0" xfId="0" applyFill="1"/>
    <xf numFmtId="0" fontId="2" fillId="5" borderId="0" xfId="0" applyFont="1" applyFill="1"/>
    <xf numFmtId="0" fontId="0" fillId="5" borderId="0" xfId="0" applyFill="1" applyAlignment="1">
      <alignment horizontal="right"/>
    </xf>
    <xf numFmtId="0" fontId="2" fillId="5" borderId="0" xfId="0" applyFont="1" applyFill="1" applyAlignment="1">
      <alignment horizontal="right"/>
    </xf>
    <xf numFmtId="0" fontId="2" fillId="5" borderId="0" xfId="0" applyFont="1" applyFill="1" applyAlignment="1">
      <alignment horizontal="center"/>
    </xf>
    <xf numFmtId="0" fontId="0" fillId="6" borderId="0" xfId="0" applyFill="1"/>
    <xf numFmtId="9" fontId="0" fillId="6" borderId="0" xfId="2" applyFont="1" applyFill="1"/>
    <xf numFmtId="9" fontId="0" fillId="4" borderId="0" xfId="2" applyFont="1" applyFill="1"/>
    <xf numFmtId="164" fontId="0" fillId="6" borderId="0" xfId="0" applyNumberFormat="1" applyFill="1"/>
    <xf numFmtId="9" fontId="0" fillId="4" borderId="0" xfId="0" applyNumberFormat="1" applyFill="1"/>
    <xf numFmtId="164" fontId="0" fillId="4" borderId="1" xfId="0" applyNumberFormat="1" applyFill="1" applyBorder="1"/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center" wrapText="1"/>
    </xf>
    <xf numFmtId="164" fontId="0" fillId="4" borderId="0" xfId="1" applyNumberFormat="1" applyFont="1" applyFill="1" applyBorder="1"/>
    <xf numFmtId="164" fontId="0" fillId="6" borderId="0" xfId="1" applyNumberFormat="1" applyFont="1" applyFill="1" applyBorder="1"/>
    <xf numFmtId="9" fontId="0" fillId="6" borderId="0" xfId="2" applyFont="1" applyFill="1" applyBorder="1"/>
    <xf numFmtId="165" fontId="0" fillId="6" borderId="0" xfId="0" applyNumberFormat="1" applyFill="1"/>
    <xf numFmtId="164" fontId="0" fillId="3" borderId="2" xfId="0" applyNumberFormat="1" applyFill="1" applyBorder="1"/>
    <xf numFmtId="166" fontId="0" fillId="3" borderId="2" xfId="2" applyNumberFormat="1" applyFont="1" applyFill="1" applyBorder="1"/>
    <xf numFmtId="166" fontId="0" fillId="4" borderId="0" xfId="2" applyNumberFormat="1" applyFont="1" applyFill="1"/>
    <xf numFmtId="166" fontId="0" fillId="4" borderId="0" xfId="0" applyNumberFormat="1" applyFill="1"/>
    <xf numFmtId="164" fontId="0" fillId="4" borderId="0" xfId="2" applyNumberFormat="1" applyFont="1" applyFill="1" applyBorder="1"/>
    <xf numFmtId="0" fontId="2" fillId="6" borderId="0" xfId="0" applyFont="1" applyFill="1" applyAlignment="1">
      <alignment horizontal="center"/>
    </xf>
    <xf numFmtId="0" fontId="0" fillId="3" borderId="7" xfId="0" applyFill="1" applyBorder="1"/>
    <xf numFmtId="0" fontId="0" fillId="6" borderId="9" xfId="0" applyFill="1" applyBorder="1"/>
    <xf numFmtId="0" fontId="0" fillId="6" borderId="10" xfId="0" applyFill="1" applyBorder="1"/>
    <xf numFmtId="0" fontId="0" fillId="3" borderId="12" xfId="0" applyFill="1" applyBorder="1"/>
    <xf numFmtId="0" fontId="2" fillId="5" borderId="9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/>
    </xf>
    <xf numFmtId="0" fontId="0" fillId="4" borderId="0" xfId="0" applyFill="1"/>
    <xf numFmtId="0" fontId="0" fillId="6" borderId="4" xfId="0" applyFill="1" applyBorder="1"/>
    <xf numFmtId="0" fontId="0" fillId="6" borderId="5" xfId="0" applyFill="1" applyBorder="1"/>
    <xf numFmtId="0" fontId="2" fillId="5" borderId="6" xfId="0" applyFont="1" applyFill="1" applyBorder="1" applyAlignment="1">
      <alignment horizontal="center"/>
    </xf>
    <xf numFmtId="0" fontId="0" fillId="4" borderId="9" xfId="0" applyFill="1" applyBorder="1"/>
    <xf numFmtId="0" fontId="0" fillId="2" borderId="13" xfId="0" applyFill="1" applyBorder="1"/>
    <xf numFmtId="0" fontId="0" fillId="3" borderId="8" xfId="0" applyFill="1" applyBorder="1"/>
    <xf numFmtId="0" fontId="2" fillId="6" borderId="9" xfId="0" applyFont="1" applyFill="1" applyBorder="1" applyAlignment="1">
      <alignment horizontal="center"/>
    </xf>
    <xf numFmtId="0" fontId="2" fillId="6" borderId="13" xfId="0" applyFont="1" applyFill="1" applyBorder="1"/>
    <xf numFmtId="0" fontId="2" fillId="5" borderId="13" xfId="0" applyFont="1" applyFill="1" applyBorder="1"/>
    <xf numFmtId="0" fontId="0" fillId="6" borderId="13" xfId="0" applyFill="1" applyBorder="1"/>
    <xf numFmtId="0" fontId="0" fillId="6" borderId="14" xfId="0" applyFill="1" applyBorder="1"/>
    <xf numFmtId="43" fontId="0" fillId="6" borderId="5" xfId="1" applyFont="1" applyFill="1" applyBorder="1"/>
    <xf numFmtId="0" fontId="2" fillId="4" borderId="5" xfId="0" applyFont="1" applyFill="1" applyBorder="1"/>
    <xf numFmtId="164" fontId="0" fillId="6" borderId="0" xfId="1" applyNumberFormat="1" applyFont="1" applyFill="1"/>
    <xf numFmtId="164" fontId="0" fillId="6" borderId="0" xfId="1" quotePrefix="1" applyNumberFormat="1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6" borderId="6" xfId="0" applyFill="1" applyBorder="1"/>
    <xf numFmtId="0" fontId="2" fillId="5" borderId="9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center"/>
    </xf>
    <xf numFmtId="164" fontId="0" fillId="4" borderId="13" xfId="1" applyNumberFormat="1" applyFont="1" applyFill="1" applyBorder="1"/>
    <xf numFmtId="164" fontId="0" fillId="4" borderId="15" xfId="1" applyNumberFormat="1" applyFont="1" applyFill="1" applyBorder="1"/>
    <xf numFmtId="164" fontId="0" fillId="4" borderId="13" xfId="0" applyNumberFormat="1" applyFill="1" applyBorder="1"/>
    <xf numFmtId="0" fontId="3" fillId="5" borderId="9" xfId="0" applyFont="1" applyFill="1" applyBorder="1" applyAlignment="1">
      <alignment horizontal="right"/>
    </xf>
    <xf numFmtId="0" fontId="2" fillId="5" borderId="10" xfId="0" applyFont="1" applyFill="1" applyBorder="1" applyAlignment="1">
      <alignment horizontal="center"/>
    </xf>
    <xf numFmtId="164" fontId="0" fillId="4" borderId="11" xfId="0" applyNumberFormat="1" applyFill="1" applyBorder="1"/>
    <xf numFmtId="164" fontId="0" fillId="4" borderId="14" xfId="0" applyNumberFormat="1" applyFill="1" applyBorder="1"/>
    <xf numFmtId="0" fontId="2" fillId="4" borderId="0" xfId="0" applyFont="1" applyFill="1" applyAlignment="1">
      <alignment horizontal="right"/>
    </xf>
    <xf numFmtId="0" fontId="2" fillId="5" borderId="5" xfId="0" applyFont="1" applyFill="1" applyBorder="1" applyAlignment="1">
      <alignment horizontal="center"/>
    </xf>
    <xf numFmtId="164" fontId="0" fillId="5" borderId="0" xfId="0" applyNumberFormat="1" applyFill="1"/>
    <xf numFmtId="0" fontId="2" fillId="6" borderId="0" xfId="0" applyFont="1" applyFill="1"/>
    <xf numFmtId="0" fontId="0" fillId="5" borderId="5" xfId="0" applyFill="1" applyBorder="1"/>
    <xf numFmtId="0" fontId="0" fillId="5" borderId="4" xfId="0" applyFill="1" applyBorder="1"/>
    <xf numFmtId="0" fontId="2" fillId="6" borderId="13" xfId="0" applyFont="1" applyFill="1" applyBorder="1" applyAlignment="1">
      <alignment horizontal="left"/>
    </xf>
    <xf numFmtId="0" fontId="0" fillId="6" borderId="0" xfId="0" applyFill="1" applyAlignment="1">
      <alignment horizontal="right"/>
    </xf>
    <xf numFmtId="0" fontId="0" fillId="3" borderId="16" xfId="0" applyFill="1" applyBorder="1"/>
    <xf numFmtId="0" fontId="2" fillId="6" borderId="6" xfId="0" applyFont="1" applyFill="1" applyBorder="1" applyAlignment="1">
      <alignment horizontal="center"/>
    </xf>
    <xf numFmtId="164" fontId="0" fillId="4" borderId="9" xfId="1" applyNumberFormat="1" applyFont="1" applyFill="1" applyBorder="1"/>
    <xf numFmtId="164" fontId="0" fillId="4" borderId="10" xfId="1" applyNumberFormat="1" applyFont="1" applyFill="1" applyBorder="1"/>
    <xf numFmtId="164" fontId="0" fillId="4" borderId="11" xfId="1" applyNumberFormat="1" applyFont="1" applyFill="1" applyBorder="1"/>
    <xf numFmtId="164" fontId="2" fillId="5" borderId="0" xfId="0" applyNumberFormat="1" applyFont="1" applyFill="1" applyAlignment="1">
      <alignment horizontal="left"/>
    </xf>
    <xf numFmtId="166" fontId="0" fillId="6" borderId="0" xfId="2" applyNumberFormat="1" applyFont="1" applyFill="1"/>
    <xf numFmtId="164" fontId="0" fillId="2" borderId="0" xfId="1" applyNumberFormat="1" applyFont="1" applyFill="1" applyBorder="1"/>
    <xf numFmtId="0" fontId="0" fillId="0" borderId="0" xfId="0" applyAlignment="1">
      <alignment horizontal="right"/>
    </xf>
    <xf numFmtId="0" fontId="0" fillId="7" borderId="0" xfId="0" applyFill="1"/>
    <xf numFmtId="0" fontId="2" fillId="7" borderId="0" xfId="0" applyFont="1" applyFill="1" applyAlignment="1">
      <alignment horizontal="left"/>
    </xf>
    <xf numFmtId="43" fontId="0" fillId="4" borderId="0" xfId="0" applyNumberFormat="1" applyFill="1"/>
    <xf numFmtId="164" fontId="2" fillId="5" borderId="0" xfId="1" applyNumberFormat="1" applyFont="1" applyFill="1" applyBorder="1" applyAlignment="1">
      <alignment horizontal="center"/>
    </xf>
    <xf numFmtId="0" fontId="4" fillId="4" borderId="0" xfId="0" applyFont="1" applyFill="1" applyAlignment="1">
      <alignment horizontal="right"/>
    </xf>
    <xf numFmtId="0" fontId="2" fillId="6" borderId="0" xfId="0" applyFont="1" applyFill="1" applyAlignment="1">
      <alignment horizontal="right"/>
    </xf>
    <xf numFmtId="166" fontId="0" fillId="6" borderId="0" xfId="0" applyNumberFormat="1" applyFill="1"/>
    <xf numFmtId="0" fontId="2" fillId="5" borderId="5" xfId="0" applyFont="1" applyFill="1" applyBorder="1"/>
    <xf numFmtId="164" fontId="0" fillId="0" borderId="0" xfId="1" applyNumberFormat="1" applyFont="1"/>
    <xf numFmtId="0" fontId="0" fillId="5" borderId="1" xfId="0" applyFill="1" applyBorder="1" applyAlignment="1">
      <alignment horizontal="center"/>
    </xf>
    <xf numFmtId="0" fontId="0" fillId="6" borderId="0" xfId="0" applyFill="1" applyAlignment="1">
      <alignment horizontal="center"/>
    </xf>
    <xf numFmtId="164" fontId="0" fillId="4" borderId="5" xfId="0" applyNumberFormat="1" applyFill="1" applyBorder="1"/>
    <xf numFmtId="164" fontId="0" fillId="4" borderId="6" xfId="0" applyNumberFormat="1" applyFill="1" applyBorder="1"/>
    <xf numFmtId="164" fontId="1" fillId="3" borderId="2" xfId="1" applyNumberFormat="1" applyFont="1" applyFill="1" applyBorder="1" applyAlignment="1">
      <alignment horizontal="right"/>
    </xf>
    <xf numFmtId="164" fontId="5" fillId="8" borderId="0" xfId="0" applyNumberFormat="1" applyFont="1" applyFill="1"/>
    <xf numFmtId="164" fontId="5" fillId="6" borderId="0" xfId="0" applyNumberFormat="1" applyFont="1" applyFill="1"/>
    <xf numFmtId="164" fontId="2" fillId="4" borderId="17" xfId="0" applyNumberFormat="1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164" fontId="1" fillId="4" borderId="0" xfId="1" applyNumberFormat="1" applyFont="1" applyFill="1" applyBorder="1" applyAlignment="1">
      <alignment horizontal="right"/>
    </xf>
    <xf numFmtId="164" fontId="1" fillId="4" borderId="13" xfId="1" applyNumberFormat="1" applyFont="1" applyFill="1" applyBorder="1" applyAlignment="1">
      <alignment horizontal="right"/>
    </xf>
    <xf numFmtId="164" fontId="1" fillId="6" borderId="0" xfId="1" applyNumberFormat="1" applyFont="1" applyFill="1" applyBorder="1" applyAlignment="1">
      <alignment horizontal="right"/>
    </xf>
    <xf numFmtId="164" fontId="0" fillId="6" borderId="13" xfId="1" applyNumberFormat="1" applyFont="1" applyFill="1" applyBorder="1"/>
    <xf numFmtId="164" fontId="2" fillId="4" borderId="0" xfId="1" applyNumberFormat="1" applyFont="1" applyFill="1" applyBorder="1" applyAlignment="1">
      <alignment horizontal="right"/>
    </xf>
    <xf numFmtId="164" fontId="2" fillId="4" borderId="13" xfId="1" applyNumberFormat="1" applyFont="1" applyFill="1" applyBorder="1" applyAlignment="1">
      <alignment horizontal="right"/>
    </xf>
    <xf numFmtId="164" fontId="2" fillId="4" borderId="0" xfId="0" applyNumberFormat="1" applyFont="1" applyFill="1" applyAlignment="1">
      <alignment horizontal="right"/>
    </xf>
    <xf numFmtId="164" fontId="2" fillId="4" borderId="13" xfId="0" applyNumberFormat="1" applyFont="1" applyFill="1" applyBorder="1" applyAlignment="1">
      <alignment horizontal="right"/>
    </xf>
    <xf numFmtId="164" fontId="2" fillId="4" borderId="18" xfId="0" applyNumberFormat="1" applyFont="1" applyFill="1" applyBorder="1" applyAlignment="1">
      <alignment horizontal="right"/>
    </xf>
    <xf numFmtId="0" fontId="2" fillId="5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right"/>
    </xf>
    <xf numFmtId="164" fontId="0" fillId="2" borderId="2" xfId="1" applyNumberFormat="1" applyFont="1" applyFill="1" applyBorder="1"/>
    <xf numFmtId="164" fontId="0" fillId="4" borderId="2" xfId="1" applyNumberFormat="1" applyFont="1" applyFill="1" applyBorder="1"/>
    <xf numFmtId="0" fontId="0" fillId="5" borderId="0" xfId="0" applyFill="1" applyAlignment="1">
      <alignment horizontal="center"/>
    </xf>
    <xf numFmtId="0" fontId="0" fillId="5" borderId="9" xfId="0" applyFill="1" applyBorder="1" applyAlignment="1">
      <alignment horizontal="right"/>
    </xf>
    <xf numFmtId="0" fontId="6" fillId="5" borderId="0" xfId="0" applyFont="1" applyFill="1" applyAlignment="1">
      <alignment horizontal="right"/>
    </xf>
    <xf numFmtId="0" fontId="2" fillId="4" borderId="9" xfId="0" applyFont="1" applyFill="1" applyBorder="1" applyAlignment="1">
      <alignment horizontal="right"/>
    </xf>
    <xf numFmtId="166" fontId="0" fillId="3" borderId="2" xfId="2" applyNumberFormat="1" applyFont="1" applyFill="1" applyBorder="1" applyAlignment="1">
      <alignment horizontal="right"/>
    </xf>
    <xf numFmtId="166" fontId="0" fillId="2" borderId="0" xfId="0" applyNumberFormat="1" applyFill="1" applyAlignment="1">
      <alignment horizontal="right"/>
    </xf>
    <xf numFmtId="164" fontId="0" fillId="4" borderId="19" xfId="1" applyNumberFormat="1" applyFont="1" applyFill="1" applyBorder="1"/>
    <xf numFmtId="0" fontId="2" fillId="4" borderId="1" xfId="2" applyNumberFormat="1" applyFont="1" applyFill="1" applyBorder="1" applyAlignment="1">
      <alignment horizontal="center"/>
    </xf>
    <xf numFmtId="166" fontId="0" fillId="3" borderId="2" xfId="2" quotePrefix="1" applyNumberFormat="1" applyFont="1" applyFill="1" applyBorder="1" applyAlignment="1">
      <alignment horizontal="center"/>
    </xf>
    <xf numFmtId="166" fontId="0" fillId="4" borderId="2" xfId="2" quotePrefix="1" applyNumberFormat="1" applyFont="1" applyFill="1" applyBorder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6" fontId="0" fillId="3" borderId="3" xfId="2" applyNumberFormat="1" applyFont="1" applyFill="1" applyBorder="1"/>
    <xf numFmtId="168" fontId="0" fillId="4" borderId="0" xfId="0" applyNumberFormat="1" applyFill="1"/>
    <xf numFmtId="0" fontId="2" fillId="7" borderId="0" xfId="0" applyFont="1" applyFill="1" applyAlignment="1">
      <alignment horizontal="right"/>
    </xf>
    <xf numFmtId="164" fontId="0" fillId="6" borderId="13" xfId="0" applyNumberFormat="1" applyFill="1" applyBorder="1"/>
    <xf numFmtId="0" fontId="3" fillId="5" borderId="10" xfId="0" applyFont="1" applyFill="1" applyBorder="1" applyAlignment="1">
      <alignment horizontal="center"/>
    </xf>
    <xf numFmtId="164" fontId="2" fillId="5" borderId="0" xfId="0" applyNumberFormat="1" applyFont="1" applyFill="1" applyAlignment="1">
      <alignment horizontal="center"/>
    </xf>
    <xf numFmtId="166" fontId="0" fillId="2" borderId="0" xfId="2" applyNumberFormat="1" applyFont="1" applyFill="1"/>
    <xf numFmtId="168" fontId="0" fillId="3" borderId="2" xfId="0" applyNumberFormat="1" applyFill="1" applyBorder="1"/>
    <xf numFmtId="167" fontId="0" fillId="4" borderId="0" xfId="0" applyNumberFormat="1" applyFill="1"/>
    <xf numFmtId="167" fontId="0" fillId="4" borderId="1" xfId="0" applyNumberFormat="1" applyFill="1" applyBorder="1"/>
    <xf numFmtId="0" fontId="0" fillId="4" borderId="1" xfId="0" applyFill="1" applyBorder="1" applyAlignment="1">
      <alignment horizontal="center"/>
    </xf>
    <xf numFmtId="164" fontId="0" fillId="3" borderId="20" xfId="1" applyNumberFormat="1" applyFont="1" applyFill="1" applyBorder="1"/>
    <xf numFmtId="0" fontId="0" fillId="4" borderId="0" xfId="0" applyFill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6" fontId="0" fillId="3" borderId="20" xfId="2" applyNumberFormat="1" applyFont="1" applyFill="1" applyBorder="1"/>
    <xf numFmtId="0" fontId="2" fillId="4" borderId="15" xfId="0" applyFont="1" applyFill="1" applyBorder="1" applyAlignment="1">
      <alignment horizontal="center"/>
    </xf>
    <xf numFmtId="0" fontId="0" fillId="3" borderId="20" xfId="0" applyFill="1" applyBorder="1"/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0" fillId="6" borderId="24" xfId="0" applyFill="1" applyBorder="1"/>
    <xf numFmtId="0" fontId="2" fillId="5" borderId="25" xfId="0" applyFont="1" applyFill="1" applyBorder="1" applyAlignment="1">
      <alignment horizontal="center" wrapText="1"/>
    </xf>
    <xf numFmtId="164" fontId="0" fillId="3" borderId="26" xfId="1" applyNumberFormat="1" applyFont="1" applyFill="1" applyBorder="1"/>
    <xf numFmtId="164" fontId="0" fillId="3" borderId="27" xfId="1" applyNumberFormat="1" applyFont="1" applyFill="1" applyBorder="1"/>
    <xf numFmtId="0" fontId="2" fillId="4" borderId="28" xfId="0" applyFont="1" applyFill="1" applyBorder="1" applyAlignment="1">
      <alignment horizontal="center"/>
    </xf>
    <xf numFmtId="0" fontId="0" fillId="3" borderId="29" xfId="0" applyFill="1" applyBorder="1"/>
    <xf numFmtId="0" fontId="0" fillId="3" borderId="30" xfId="0" applyFill="1" applyBorder="1"/>
    <xf numFmtId="164" fontId="0" fillId="5" borderId="0" xfId="1" applyNumberFormat="1" applyFont="1" applyFill="1" applyAlignment="1">
      <alignment horizontal="right"/>
    </xf>
    <xf numFmtId="0" fontId="0" fillId="4" borderId="1" xfId="1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164" fontId="0" fillId="4" borderId="17" xfId="1" applyNumberFormat="1" applyFont="1" applyFill="1" applyBorder="1"/>
    <xf numFmtId="164" fontId="0" fillId="4" borderId="18" xfId="1" applyNumberFormat="1" applyFont="1" applyFill="1" applyBorder="1"/>
    <xf numFmtId="0" fontId="7" fillId="5" borderId="9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1" fillId="4" borderId="1" xfId="1" applyNumberFormat="1" applyFont="1" applyFill="1" applyBorder="1" applyAlignment="1">
      <alignment horizontal="center"/>
    </xf>
    <xf numFmtId="166" fontId="2" fillId="3" borderId="2" xfId="2" applyNumberFormat="1" applyFont="1" applyFill="1" applyBorder="1" applyAlignment="1">
      <alignment horizontal="right"/>
    </xf>
    <xf numFmtId="164" fontId="0" fillId="5" borderId="0" xfId="0" applyNumberFormat="1" applyFill="1" applyAlignment="1">
      <alignment horizontal="left"/>
    </xf>
    <xf numFmtId="0" fontId="0" fillId="6" borderId="0" xfId="0" applyFill="1" applyAlignment="1">
      <alignment horizontal="left"/>
    </xf>
    <xf numFmtId="166" fontId="0" fillId="3" borderId="16" xfId="2" applyNumberFormat="1" applyFont="1" applyFill="1" applyBorder="1"/>
    <xf numFmtId="166" fontId="0" fillId="2" borderId="0" xfId="0" applyNumberFormat="1" applyFill="1"/>
    <xf numFmtId="166" fontId="0" fillId="2" borderId="3" xfId="2" applyNumberFormat="1" applyFont="1" applyFill="1" applyBorder="1"/>
    <xf numFmtId="166" fontId="0" fillId="4" borderId="0" xfId="2" applyNumberFormat="1" applyFont="1" applyFill="1" applyBorder="1"/>
    <xf numFmtId="166" fontId="0" fillId="3" borderId="0" xfId="0" applyNumberFormat="1" applyFill="1" applyAlignment="1">
      <alignment horizontal="right"/>
    </xf>
    <xf numFmtId="166" fontId="0" fillId="6" borderId="0" xfId="0" applyNumberFormat="1" applyFill="1" applyAlignment="1">
      <alignment horizontal="right"/>
    </xf>
    <xf numFmtId="166" fontId="0" fillId="4" borderId="0" xfId="0" applyNumberFormat="1" applyFill="1" applyAlignment="1">
      <alignment horizontal="right"/>
    </xf>
    <xf numFmtId="166" fontId="0" fillId="2" borderId="0" xfId="2" applyNumberFormat="1" applyFont="1" applyFill="1" applyBorder="1"/>
    <xf numFmtId="166" fontId="0" fillId="3" borderId="2" xfId="0" applyNumberFormat="1" applyFill="1" applyBorder="1"/>
    <xf numFmtId="166" fontId="0" fillId="2" borderId="13" xfId="0" applyNumberFormat="1" applyFill="1" applyBorder="1"/>
    <xf numFmtId="166" fontId="0" fillId="4" borderId="13" xfId="0" applyNumberFormat="1" applyFill="1" applyBorder="1"/>
    <xf numFmtId="166" fontId="0" fillId="2" borderId="1" xfId="2" applyNumberFormat="1" applyFont="1" applyFill="1" applyBorder="1"/>
    <xf numFmtId="0" fontId="8" fillId="5" borderId="0" xfId="0" applyFont="1" applyFill="1" applyAlignment="1">
      <alignment horizontal="center"/>
    </xf>
    <xf numFmtId="9" fontId="0" fillId="5" borderId="0" xfId="2" applyFont="1" applyFill="1" applyAlignment="1">
      <alignment horizontal="right"/>
    </xf>
    <xf numFmtId="0" fontId="7" fillId="5" borderId="0" xfId="0" applyFont="1" applyFill="1" applyAlignment="1">
      <alignment horizontal="center"/>
    </xf>
    <xf numFmtId="0" fontId="0" fillId="7" borderId="0" xfId="0" applyFill="1" applyAlignment="1">
      <alignment horizontal="right"/>
    </xf>
    <xf numFmtId="164" fontId="1" fillId="6" borderId="9" xfId="1" applyNumberFormat="1" applyFont="1" applyFill="1" applyBorder="1" applyAlignment="1">
      <alignment horizontal="right"/>
    </xf>
    <xf numFmtId="0" fontId="2" fillId="6" borderId="9" xfId="0" applyFont="1" applyFill="1" applyBorder="1" applyAlignment="1">
      <alignment horizontal="right"/>
    </xf>
    <xf numFmtId="0" fontId="2" fillId="5" borderId="21" xfId="0" applyFont="1" applyFill="1" applyBorder="1" applyAlignment="1">
      <alignment horizontal="right"/>
    </xf>
    <xf numFmtId="2" fontId="0" fillId="4" borderId="13" xfId="0" applyNumberFormat="1" applyFill="1" applyBorder="1" applyAlignment="1">
      <alignment horizontal="center"/>
    </xf>
    <xf numFmtId="0" fontId="2" fillId="4" borderId="10" xfId="0" applyFont="1" applyFill="1" applyBorder="1" applyAlignment="1">
      <alignment horizontal="right"/>
    </xf>
    <xf numFmtId="43" fontId="0" fillId="4" borderId="11" xfId="0" applyNumberFormat="1" applyFill="1" applyBorder="1"/>
    <xf numFmtId="2" fontId="0" fillId="4" borderId="14" xfId="0" applyNumberFormat="1" applyFill="1" applyBorder="1" applyAlignment="1">
      <alignment horizontal="center"/>
    </xf>
    <xf numFmtId="0" fontId="4" fillId="3" borderId="31" xfId="0" applyFont="1" applyFill="1" applyBorder="1" applyAlignment="1">
      <alignment horizontal="right"/>
    </xf>
    <xf numFmtId="0" fontId="2" fillId="5" borderId="9" xfId="0" applyFont="1" applyFill="1" applyBorder="1" applyAlignment="1">
      <alignment horizontal="center"/>
    </xf>
    <xf numFmtId="0" fontId="0" fillId="5" borderId="13" xfId="0" applyFill="1" applyBorder="1"/>
    <xf numFmtId="0" fontId="0" fillId="6" borderId="9" xfId="0" applyFill="1" applyBorder="1" applyAlignment="1">
      <alignment horizontal="right"/>
    </xf>
    <xf numFmtId="0" fontId="0" fillId="5" borderId="10" xfId="0" applyFill="1" applyBorder="1" applyAlignment="1">
      <alignment horizontal="right"/>
    </xf>
    <xf numFmtId="0" fontId="0" fillId="4" borderId="9" xfId="0" applyFill="1" applyBorder="1" applyAlignment="1">
      <alignment horizontal="right"/>
    </xf>
    <xf numFmtId="9" fontId="0" fillId="4" borderId="0" xfId="0" applyNumberFormat="1" applyFill="1" applyAlignment="1">
      <alignment horizontal="center"/>
    </xf>
    <xf numFmtId="166" fontId="0" fillId="4" borderId="17" xfId="2" applyNumberFormat="1" applyFont="1" applyFill="1" applyBorder="1"/>
    <xf numFmtId="9" fontId="0" fillId="5" borderId="0" xfId="2" applyFont="1" applyFill="1"/>
    <xf numFmtId="166" fontId="0" fillId="4" borderId="1" xfId="2" applyNumberFormat="1" applyFont="1" applyFill="1" applyBorder="1"/>
    <xf numFmtId="166" fontId="0" fillId="4" borderId="32" xfId="2" applyNumberFormat="1" applyFont="1" applyFill="1" applyBorder="1"/>
    <xf numFmtId="164" fontId="2" fillId="6" borderId="0" xfId="1" applyNumberFormat="1" applyFont="1" applyFill="1" applyAlignment="1">
      <alignment horizontal="center"/>
    </xf>
    <xf numFmtId="0" fontId="0" fillId="5" borderId="0" xfId="0" applyFill="1" applyAlignment="1">
      <alignment horizontal="left"/>
    </xf>
    <xf numFmtId="0" fontId="2" fillId="4" borderId="17" xfId="0" applyFont="1" applyFill="1" applyBorder="1" applyAlignment="1">
      <alignment horizontal="center"/>
    </xf>
    <xf numFmtId="164" fontId="0" fillId="4" borderId="15" xfId="0" applyNumberFormat="1" applyFill="1" applyBorder="1"/>
    <xf numFmtId="0" fontId="2" fillId="4" borderId="0" xfId="0" applyFont="1" applyFill="1" applyAlignment="1">
      <alignment horizontal="left" vertical="top"/>
    </xf>
    <xf numFmtId="169" fontId="0" fillId="4" borderId="0" xfId="1" applyNumberFormat="1" applyFont="1" applyFill="1"/>
    <xf numFmtId="165" fontId="0" fillId="4" borderId="0" xfId="3" applyNumberFormat="1" applyFont="1" applyFill="1"/>
    <xf numFmtId="164" fontId="0" fillId="4" borderId="21" xfId="1" applyNumberFormat="1" applyFont="1" applyFill="1" applyBorder="1"/>
    <xf numFmtId="164" fontId="0" fillId="5" borderId="0" xfId="1" applyNumberFormat="1" applyFont="1" applyFill="1" applyBorder="1"/>
    <xf numFmtId="164" fontId="2" fillId="5" borderId="0" xfId="1" applyNumberFormat="1" applyFont="1" applyFill="1" applyAlignment="1">
      <alignment horizontal="center"/>
    </xf>
    <xf numFmtId="164" fontId="0" fillId="4" borderId="33" xfId="1" applyNumberFormat="1" applyFont="1" applyFill="1" applyBorder="1"/>
    <xf numFmtId="0" fontId="0" fillId="6" borderId="34" xfId="0" applyFill="1" applyBorder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4FE6-19B9-4822-88BE-F2157F18F6E9}">
  <dimension ref="A1:M61"/>
  <sheetViews>
    <sheetView tabSelected="1" zoomScale="77" zoomScaleNormal="77" workbookViewId="0">
      <selection activeCell="K5" sqref="K5"/>
    </sheetView>
  </sheetViews>
  <sheetFormatPr defaultRowHeight="15" x14ac:dyDescent="0.25"/>
  <cols>
    <col min="1" max="1" width="44.42578125" customWidth="1"/>
    <col min="2" max="2" width="12.85546875" customWidth="1"/>
    <col min="3" max="3" width="26" customWidth="1"/>
    <col min="4" max="4" width="12.85546875" customWidth="1"/>
    <col min="5" max="5" width="35.7109375" customWidth="1"/>
    <col min="6" max="7" width="12" customWidth="1"/>
    <col min="8" max="8" width="12.5703125" customWidth="1"/>
    <col min="9" max="9" width="12" customWidth="1"/>
    <col min="10" max="10" width="12.7109375" customWidth="1"/>
    <col min="11" max="11" width="13.140625" customWidth="1"/>
    <col min="12" max="12" width="12.140625" customWidth="1"/>
    <col min="13" max="13" width="12" customWidth="1"/>
    <col min="15" max="15" width="11.5703125" customWidth="1"/>
  </cols>
  <sheetData>
    <row r="1" spans="1:13" ht="16.5" thickBot="1" x14ac:dyDescent="0.3">
      <c r="A1" s="188" t="s">
        <v>289</v>
      </c>
      <c r="B1" s="40"/>
      <c r="C1" s="55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25">
      <c r="A2" s="189" t="s">
        <v>0</v>
      </c>
      <c r="B2" s="13"/>
      <c r="C2" s="48"/>
      <c r="D2" s="13"/>
      <c r="E2" s="54" t="s">
        <v>2</v>
      </c>
      <c r="F2" s="40"/>
      <c r="G2" s="40"/>
      <c r="H2" s="40"/>
      <c r="I2" s="40"/>
      <c r="J2" s="40"/>
      <c r="K2" s="55"/>
      <c r="L2" s="13"/>
      <c r="M2" s="13"/>
    </row>
    <row r="3" spans="1:13" x14ac:dyDescent="0.25">
      <c r="A3" s="115" t="s">
        <v>6</v>
      </c>
      <c r="B3" s="26">
        <v>-0.01</v>
      </c>
      <c r="C3" s="190" t="s">
        <v>24</v>
      </c>
      <c r="D3" s="13"/>
      <c r="E3" s="56" t="s">
        <v>310</v>
      </c>
      <c r="F3" s="138">
        <f>B31+1</f>
        <v>2022</v>
      </c>
      <c r="G3" s="138">
        <f>F3+1</f>
        <v>2023</v>
      </c>
      <c r="H3" s="138">
        <f>G3+1</f>
        <v>2024</v>
      </c>
      <c r="I3" s="138">
        <f>H3+1</f>
        <v>2025</v>
      </c>
      <c r="J3" s="138">
        <f>I3+1</f>
        <v>2026</v>
      </c>
      <c r="K3" s="141">
        <f>J3+1</f>
        <v>2027</v>
      </c>
      <c r="L3" s="13"/>
      <c r="M3" s="13"/>
    </row>
    <row r="4" spans="1:13" x14ac:dyDescent="0.25">
      <c r="A4" s="115" t="s">
        <v>26</v>
      </c>
      <c r="B4" s="26">
        <v>0.02</v>
      </c>
      <c r="C4" s="190" t="s">
        <v>25</v>
      </c>
      <c r="D4" s="13"/>
      <c r="E4" s="159" t="s">
        <v>298</v>
      </c>
      <c r="F4" s="30"/>
      <c r="G4" s="30"/>
      <c r="H4" s="30"/>
      <c r="I4" s="30"/>
      <c r="J4" s="30"/>
      <c r="K4" s="160"/>
      <c r="L4" s="13"/>
      <c r="M4" s="13"/>
    </row>
    <row r="5" spans="1:13" x14ac:dyDescent="0.25">
      <c r="A5" s="115" t="s">
        <v>338</v>
      </c>
      <c r="B5" s="26">
        <v>0.05</v>
      </c>
      <c r="C5" s="190" t="s">
        <v>340</v>
      </c>
      <c r="D5" s="13"/>
      <c r="E5" s="56" t="s">
        <v>170</v>
      </c>
      <c r="F5" s="21">
        <f>Enrollment!C28</f>
        <v>38610543.624230802</v>
      </c>
      <c r="G5" s="21">
        <f>Enrollment!D28</f>
        <v>36688224.02200003</v>
      </c>
      <c r="H5" s="21">
        <f>Enrollment!E28</f>
        <v>35565795.989997074</v>
      </c>
      <c r="I5" s="21">
        <f>Enrollment!F28</f>
        <v>32863779.69652639</v>
      </c>
      <c r="J5" s="21">
        <f>Enrollment!G28</f>
        <v>33014950.725067183</v>
      </c>
      <c r="K5" s="209">
        <f>Enrollment!H28</f>
        <v>30353143.833990052</v>
      </c>
      <c r="L5" s="210"/>
      <c r="M5" s="13"/>
    </row>
    <row r="6" spans="1:13" x14ac:dyDescent="0.25">
      <c r="A6" s="115" t="s">
        <v>57</v>
      </c>
      <c r="B6" s="26">
        <v>0.5</v>
      </c>
      <c r="C6" s="48"/>
      <c r="D6" s="13"/>
      <c r="E6" s="56" t="s">
        <v>171</v>
      </c>
      <c r="F6" s="21">
        <f>Enrollment!C32</f>
        <v>0</v>
      </c>
      <c r="G6" s="21">
        <f>Enrollment!D32</f>
        <v>0</v>
      </c>
      <c r="H6" s="21">
        <f>Enrollment!E32</f>
        <v>0</v>
      </c>
      <c r="I6" s="21">
        <f>Enrollment!F32</f>
        <v>0</v>
      </c>
      <c r="J6" s="21">
        <f>Enrollment!G32</f>
        <v>0</v>
      </c>
      <c r="K6" s="58">
        <f>Enrollment!H32</f>
        <v>0</v>
      </c>
      <c r="L6" s="13"/>
      <c r="M6" s="13"/>
    </row>
    <row r="7" spans="1:13" x14ac:dyDescent="0.25">
      <c r="A7" s="115" t="s">
        <v>339</v>
      </c>
      <c r="B7" s="26">
        <v>0.03</v>
      </c>
      <c r="C7" s="190" t="s">
        <v>53</v>
      </c>
      <c r="D7" s="13"/>
      <c r="E7" s="56" t="s">
        <v>172</v>
      </c>
      <c r="F7" s="21">
        <f>Enrollment!C33</f>
        <v>0</v>
      </c>
      <c r="G7" s="21">
        <f>Enrollment!D33</f>
        <v>0</v>
      </c>
      <c r="H7" s="21">
        <f>Enrollment!E33</f>
        <v>0</v>
      </c>
      <c r="I7" s="21">
        <f>Enrollment!F33</f>
        <v>0</v>
      </c>
      <c r="J7" s="21">
        <f>Enrollment!G33</f>
        <v>0</v>
      </c>
      <c r="K7" s="58">
        <f>Enrollment!H33</f>
        <v>0</v>
      </c>
      <c r="L7" s="13"/>
      <c r="M7" s="13"/>
    </row>
    <row r="8" spans="1:13" x14ac:dyDescent="0.25">
      <c r="A8" s="115" t="s">
        <v>59</v>
      </c>
      <c r="B8" s="26">
        <v>0</v>
      </c>
      <c r="C8" s="190" t="s">
        <v>145</v>
      </c>
      <c r="D8" s="13"/>
      <c r="E8" s="56" t="s">
        <v>173</v>
      </c>
      <c r="F8" s="21">
        <f>Enrollment!C34</f>
        <v>0</v>
      </c>
      <c r="G8" s="21">
        <f>Enrollment!D34</f>
        <v>0</v>
      </c>
      <c r="H8" s="21">
        <f>Enrollment!E34</f>
        <v>0</v>
      </c>
      <c r="I8" s="21">
        <f>Enrollment!F34</f>
        <v>0</v>
      </c>
      <c r="J8" s="21">
        <f>Enrollment!G34</f>
        <v>0</v>
      </c>
      <c r="K8" s="58">
        <f>Enrollment!H34</f>
        <v>0</v>
      </c>
      <c r="L8" s="13"/>
      <c r="M8" s="13"/>
    </row>
    <row r="9" spans="1:13" x14ac:dyDescent="0.25">
      <c r="A9" s="115" t="s">
        <v>60</v>
      </c>
      <c r="B9" s="26">
        <v>0</v>
      </c>
      <c r="C9" s="190" t="s">
        <v>145</v>
      </c>
      <c r="D9" s="13"/>
      <c r="E9" s="56" t="s">
        <v>174</v>
      </c>
      <c r="F9" s="21">
        <f>Enrollment!C36</f>
        <v>0</v>
      </c>
      <c r="G9" s="21">
        <f>Enrollment!D36</f>
        <v>0</v>
      </c>
      <c r="H9" s="21">
        <f>Enrollment!E36</f>
        <v>0</v>
      </c>
      <c r="I9" s="21">
        <f>Enrollment!F36</f>
        <v>0</v>
      </c>
      <c r="J9" s="21">
        <f>Enrollment!G36</f>
        <v>0</v>
      </c>
      <c r="K9" s="58">
        <f>Enrollment!H36</f>
        <v>0</v>
      </c>
      <c r="L9" s="13"/>
      <c r="M9" s="13"/>
    </row>
    <row r="10" spans="1:13" x14ac:dyDescent="0.25">
      <c r="A10" s="115" t="s">
        <v>166</v>
      </c>
      <c r="B10" s="2">
        <v>1000000</v>
      </c>
      <c r="C10" s="48"/>
      <c r="D10" s="13"/>
      <c r="E10" s="56" t="s">
        <v>175</v>
      </c>
      <c r="F10" s="21">
        <f>Enrollment!C37</f>
        <v>0</v>
      </c>
      <c r="G10" s="21">
        <f>Enrollment!D37</f>
        <v>0</v>
      </c>
      <c r="H10" s="21">
        <f>Enrollment!E37</f>
        <v>0</v>
      </c>
      <c r="I10" s="21">
        <f>Enrollment!F37</f>
        <v>0</v>
      </c>
      <c r="J10" s="21">
        <f>Enrollment!G37</f>
        <v>0</v>
      </c>
      <c r="K10" s="58">
        <f>Enrollment!H37</f>
        <v>0</v>
      </c>
      <c r="L10" s="13"/>
      <c r="M10" s="13"/>
    </row>
    <row r="11" spans="1:13" x14ac:dyDescent="0.25">
      <c r="A11" s="115" t="s">
        <v>307</v>
      </c>
      <c r="B11" s="26">
        <v>0.1</v>
      </c>
      <c r="C11" s="48"/>
      <c r="D11" s="13"/>
      <c r="E11" s="56" t="s">
        <v>176</v>
      </c>
      <c r="F11" s="21">
        <f>Enrollment!C38</f>
        <v>0</v>
      </c>
      <c r="G11" s="21">
        <f>Enrollment!D38</f>
        <v>0</v>
      </c>
      <c r="H11" s="21">
        <f>Enrollment!E38</f>
        <v>0</v>
      </c>
      <c r="I11" s="21">
        <f>Enrollment!F38</f>
        <v>0</v>
      </c>
      <c r="J11" s="21">
        <f>Enrollment!G38</f>
        <v>0</v>
      </c>
      <c r="K11" s="58">
        <f>Enrollment!H38</f>
        <v>0</v>
      </c>
      <c r="L11" s="13"/>
      <c r="M11" s="13"/>
    </row>
    <row r="12" spans="1:13" x14ac:dyDescent="0.25">
      <c r="A12" s="115" t="s">
        <v>68</v>
      </c>
      <c r="B12" s="26">
        <v>0.01</v>
      </c>
      <c r="C12" s="190" t="s">
        <v>145</v>
      </c>
      <c r="D12" s="13"/>
      <c r="E12" s="56" t="s">
        <v>177</v>
      </c>
      <c r="F12" s="21">
        <f>Enrollment!C42</f>
        <v>3000000</v>
      </c>
      <c r="G12" s="21">
        <f>Enrollment!D42</f>
        <v>4060000</v>
      </c>
      <c r="H12" s="21">
        <f>Enrollment!E42</f>
        <v>3121200</v>
      </c>
      <c r="I12" s="21">
        <f>Enrollment!F42</f>
        <v>3183624</v>
      </c>
      <c r="J12" s="21">
        <f>Enrollment!G42</f>
        <v>3247296.48</v>
      </c>
      <c r="K12" s="58">
        <f>Enrollment!H42</f>
        <v>3312242.4095999999</v>
      </c>
      <c r="L12" s="13"/>
      <c r="M12" s="13"/>
    </row>
    <row r="13" spans="1:13" x14ac:dyDescent="0.25">
      <c r="A13" s="115" t="s">
        <v>69</v>
      </c>
      <c r="B13" s="26">
        <v>0</v>
      </c>
      <c r="C13" s="190" t="s">
        <v>145</v>
      </c>
      <c r="D13" s="13"/>
      <c r="E13" s="56" t="s">
        <v>178</v>
      </c>
      <c r="F13" s="21">
        <f>Enrollment!C44</f>
        <v>0</v>
      </c>
      <c r="G13" s="21">
        <f>Enrollment!D44</f>
        <v>0</v>
      </c>
      <c r="H13" s="21">
        <f>Enrollment!E44</f>
        <v>0</v>
      </c>
      <c r="I13" s="21">
        <f>Enrollment!F44</f>
        <v>0</v>
      </c>
      <c r="J13" s="21">
        <f>Enrollment!G44</f>
        <v>0</v>
      </c>
      <c r="K13" s="58">
        <f>Enrollment!H44</f>
        <v>0</v>
      </c>
      <c r="L13" s="13"/>
      <c r="M13" s="13"/>
    </row>
    <row r="14" spans="1:13" x14ac:dyDescent="0.25">
      <c r="A14" s="115" t="s">
        <v>70</v>
      </c>
      <c r="B14" s="26">
        <v>0.01</v>
      </c>
      <c r="C14" s="190" t="s">
        <v>145</v>
      </c>
      <c r="D14" s="13"/>
      <c r="E14" s="56" t="s">
        <v>295</v>
      </c>
      <c r="F14" s="21">
        <f>Endow!B7</f>
        <v>2000000</v>
      </c>
      <c r="G14" s="21">
        <f>Endow!C7</f>
        <v>2377083.3333333335</v>
      </c>
      <c r="H14" s="21">
        <f>Endow!D7</f>
        <v>2506666.6666666665</v>
      </c>
      <c r="I14" s="21">
        <f>Endow!E7</f>
        <v>2640381.9444444445</v>
      </c>
      <c r="J14" s="21">
        <f>Endow!F7</f>
        <v>2778819.4444444445</v>
      </c>
      <c r="K14" s="58">
        <f>Endow!G7</f>
        <v>2917455.4398148148</v>
      </c>
      <c r="L14" s="13"/>
      <c r="M14" s="13"/>
    </row>
    <row r="15" spans="1:13" x14ac:dyDescent="0.25">
      <c r="A15" s="115" t="s">
        <v>71</v>
      </c>
      <c r="B15" s="26">
        <v>0.01</v>
      </c>
      <c r="C15" s="190" t="s">
        <v>145</v>
      </c>
      <c r="D15" s="13"/>
      <c r="E15" s="56" t="s">
        <v>179</v>
      </c>
      <c r="F15" s="21">
        <f>Enrollment!C45</f>
        <v>0</v>
      </c>
      <c r="G15" s="21">
        <f>Enrollment!D45</f>
        <v>0</v>
      </c>
      <c r="H15" s="21">
        <f>Enrollment!E45</f>
        <v>0</v>
      </c>
      <c r="I15" s="21">
        <f>Enrollment!F45</f>
        <v>0</v>
      </c>
      <c r="J15" s="21">
        <f>Enrollment!G45</f>
        <v>0</v>
      </c>
      <c r="K15" s="58">
        <f>Enrollment!H45</f>
        <v>0</v>
      </c>
      <c r="L15" s="13"/>
      <c r="M15" s="13"/>
    </row>
    <row r="16" spans="1:13" x14ac:dyDescent="0.25">
      <c r="A16" s="115" t="s">
        <v>28</v>
      </c>
      <c r="B16" s="2">
        <v>-3</v>
      </c>
      <c r="C16" s="190" t="s">
        <v>27</v>
      </c>
      <c r="D16" s="13"/>
      <c r="E16" s="56" t="s">
        <v>181</v>
      </c>
      <c r="F16" s="21">
        <f>Enrollment!C48</f>
        <v>0</v>
      </c>
      <c r="G16" s="21">
        <f>Enrollment!D48</f>
        <v>0</v>
      </c>
      <c r="H16" s="21">
        <f>Enrollment!E48</f>
        <v>0</v>
      </c>
      <c r="I16" s="21">
        <f>Enrollment!F48</f>
        <v>0</v>
      </c>
      <c r="J16" s="21">
        <f>Enrollment!G48</f>
        <v>0</v>
      </c>
      <c r="K16" s="58">
        <f>Enrollment!H48</f>
        <v>0</v>
      </c>
      <c r="L16" s="13"/>
      <c r="M16" s="13"/>
    </row>
    <row r="17" spans="1:13" x14ac:dyDescent="0.25">
      <c r="A17" s="115" t="s">
        <v>29</v>
      </c>
      <c r="B17" s="2">
        <v>-3</v>
      </c>
      <c r="C17" s="190" t="s">
        <v>27</v>
      </c>
      <c r="D17" s="13"/>
      <c r="E17" s="56" t="s">
        <v>241</v>
      </c>
      <c r="F17" s="21">
        <f>Enrollment!C58</f>
        <v>2345000</v>
      </c>
      <c r="G17" s="21">
        <f>Enrollment!D58</f>
        <v>2439400</v>
      </c>
      <c r="H17" s="21">
        <f>Enrollment!E58</f>
        <v>2537588</v>
      </c>
      <c r="I17" s="21">
        <f>Enrollment!F58</f>
        <v>2639715.7600000002</v>
      </c>
      <c r="J17" s="21">
        <f>Enrollment!G58</f>
        <v>3023782.5232000002</v>
      </c>
      <c r="K17" s="58">
        <f>Enrollment!H58</f>
        <v>3145383.2834240007</v>
      </c>
      <c r="L17" s="13"/>
      <c r="M17" s="13"/>
    </row>
    <row r="18" spans="1:13" x14ac:dyDescent="0.25">
      <c r="A18" s="115" t="s">
        <v>66</v>
      </c>
      <c r="B18" s="2">
        <v>8</v>
      </c>
      <c r="C18" s="190" t="s">
        <v>27</v>
      </c>
      <c r="D18" s="13"/>
      <c r="E18" s="56" t="s">
        <v>182</v>
      </c>
      <c r="F18" s="21">
        <f>Enrollment!C60</f>
        <v>0</v>
      </c>
      <c r="G18" s="21">
        <f>Enrollment!D60</f>
        <v>0</v>
      </c>
      <c r="H18" s="21">
        <f>Enrollment!E60</f>
        <v>0</v>
      </c>
      <c r="I18" s="21">
        <f>Enrollment!F60</f>
        <v>0</v>
      </c>
      <c r="J18" s="21">
        <f>Enrollment!G60</f>
        <v>0</v>
      </c>
      <c r="K18" s="58">
        <f>Enrollment!H60</f>
        <v>0</v>
      </c>
      <c r="L18" s="13"/>
      <c r="M18" s="13"/>
    </row>
    <row r="19" spans="1:13" x14ac:dyDescent="0.25">
      <c r="A19" s="115" t="s">
        <v>67</v>
      </c>
      <c r="B19" s="2">
        <v>-1</v>
      </c>
      <c r="C19" s="190" t="s">
        <v>27</v>
      </c>
      <c r="D19" s="13"/>
      <c r="E19" s="56" t="s">
        <v>183</v>
      </c>
      <c r="F19" s="21">
        <f>Enrollment!C61</f>
        <v>0</v>
      </c>
      <c r="G19" s="21">
        <f>Enrollment!D61</f>
        <v>0</v>
      </c>
      <c r="H19" s="21">
        <f>Enrollment!E61</f>
        <v>0</v>
      </c>
      <c r="I19" s="21">
        <f>Enrollment!F61</f>
        <v>0</v>
      </c>
      <c r="J19" s="21">
        <f>Enrollment!G61</f>
        <v>0</v>
      </c>
      <c r="K19" s="58">
        <f>Enrollment!H61</f>
        <v>0</v>
      </c>
      <c r="L19" s="13"/>
      <c r="M19" s="13"/>
    </row>
    <row r="20" spans="1:13" x14ac:dyDescent="0.25">
      <c r="A20" s="115" t="s">
        <v>32</v>
      </c>
      <c r="B20" s="165">
        <v>0.02</v>
      </c>
      <c r="C20" s="190" t="s">
        <v>145</v>
      </c>
      <c r="D20" s="13"/>
      <c r="E20" s="56" t="s">
        <v>184</v>
      </c>
      <c r="F20" s="5">
        <f>Enrollment!C63</f>
        <v>500000</v>
      </c>
      <c r="G20" s="5">
        <f>Enrollment!D63</f>
        <v>560000</v>
      </c>
      <c r="H20" s="5">
        <f>Enrollment!E63</f>
        <v>520200</v>
      </c>
      <c r="I20" s="5">
        <f>Enrollment!F63</f>
        <v>530604</v>
      </c>
      <c r="J20" s="5">
        <f>Enrollment!G63</f>
        <v>541216.07999999996</v>
      </c>
      <c r="K20" s="59">
        <f>Enrollment!H63</f>
        <v>552040.40159999998</v>
      </c>
      <c r="L20" s="13"/>
      <c r="M20" s="13"/>
    </row>
    <row r="21" spans="1:13" x14ac:dyDescent="0.25">
      <c r="A21" s="115" t="s">
        <v>277</v>
      </c>
      <c r="B21" s="165">
        <v>0.1</v>
      </c>
      <c r="C21" s="48"/>
      <c r="D21" s="13"/>
      <c r="E21" s="61" t="s">
        <v>296</v>
      </c>
      <c r="F21" s="21">
        <f t="shared" ref="F21:K21" si="0">SUM(F5:F20)</f>
        <v>46455543.624230802</v>
      </c>
      <c r="G21" s="21">
        <f t="shared" si="0"/>
        <v>46124707.355333365</v>
      </c>
      <c r="H21" s="21">
        <f t="shared" si="0"/>
        <v>44251450.656663738</v>
      </c>
      <c r="I21" s="21">
        <f t="shared" si="0"/>
        <v>41858105.400970839</v>
      </c>
      <c r="J21" s="21">
        <f t="shared" si="0"/>
        <v>42606065.252711624</v>
      </c>
      <c r="K21" s="58">
        <f t="shared" si="0"/>
        <v>40280265.368428864</v>
      </c>
      <c r="L21" s="13"/>
      <c r="M21" s="13"/>
    </row>
    <row r="22" spans="1:13" x14ac:dyDescent="0.25">
      <c r="A22" s="115" t="s">
        <v>278</v>
      </c>
      <c r="B22" s="26">
        <v>0.05</v>
      </c>
      <c r="C22" s="190" t="s">
        <v>279</v>
      </c>
      <c r="D22" s="13"/>
      <c r="E22" s="159" t="s">
        <v>299</v>
      </c>
      <c r="F22" s="22"/>
      <c r="G22" s="22"/>
      <c r="H22" s="22"/>
      <c r="I22" s="22"/>
      <c r="J22" s="22"/>
      <c r="K22" s="104"/>
      <c r="L22" s="13"/>
      <c r="M22" s="13"/>
    </row>
    <row r="23" spans="1:13" x14ac:dyDescent="0.25">
      <c r="A23" s="32"/>
      <c r="B23" s="23"/>
      <c r="C23" s="48"/>
      <c r="D23" s="13"/>
      <c r="E23" s="56" t="s">
        <v>180</v>
      </c>
      <c r="F23" s="21">
        <f>Enrollment!C47</f>
        <v>2530000</v>
      </c>
      <c r="G23" s="21">
        <f>Enrollment!D47</f>
        <v>2620000</v>
      </c>
      <c r="H23" s="21">
        <f>Enrollment!E47</f>
        <v>2765000</v>
      </c>
      <c r="I23" s="21">
        <f>Enrollment!F47</f>
        <v>2866145.8333333335</v>
      </c>
      <c r="J23" s="21">
        <f>Enrollment!G47</f>
        <v>2945312.5</v>
      </c>
      <c r="K23" s="58">
        <f>Enrollment!H47</f>
        <v>3060907.986111111</v>
      </c>
      <c r="L23" s="13"/>
      <c r="M23" s="13"/>
    </row>
    <row r="24" spans="1:13" x14ac:dyDescent="0.25">
      <c r="A24" s="189" t="s">
        <v>52</v>
      </c>
      <c r="B24" s="13"/>
      <c r="C24" s="48"/>
      <c r="D24" s="13"/>
      <c r="E24" s="56" t="s">
        <v>295</v>
      </c>
      <c r="F24" s="21">
        <f t="shared" ref="F24:K24" si="1">-F14</f>
        <v>-2000000</v>
      </c>
      <c r="G24" s="21">
        <f t="shared" si="1"/>
        <v>-2377083.3333333335</v>
      </c>
      <c r="H24" s="21">
        <f t="shared" si="1"/>
        <v>-2506666.6666666665</v>
      </c>
      <c r="I24" s="21">
        <f t="shared" si="1"/>
        <v>-2640381.9444444445</v>
      </c>
      <c r="J24" s="21">
        <f t="shared" si="1"/>
        <v>-2778819.4444444445</v>
      </c>
      <c r="K24" s="58">
        <f t="shared" si="1"/>
        <v>-2917455.4398148148</v>
      </c>
      <c r="L24" s="13"/>
      <c r="M24" s="13"/>
    </row>
    <row r="25" spans="1:13" x14ac:dyDescent="0.25">
      <c r="A25" s="115" t="s">
        <v>1</v>
      </c>
      <c r="B25" s="26">
        <v>0.02</v>
      </c>
      <c r="C25" s="190"/>
      <c r="D25" s="13"/>
      <c r="E25" s="61" t="s">
        <v>297</v>
      </c>
      <c r="F25" s="157">
        <f t="shared" ref="F25:K25" si="2">SUM(F16:F20)</f>
        <v>2845000</v>
      </c>
      <c r="G25" s="157">
        <f t="shared" si="2"/>
        <v>2999400</v>
      </c>
      <c r="H25" s="157">
        <f t="shared" si="2"/>
        <v>3057788</v>
      </c>
      <c r="I25" s="157">
        <f t="shared" si="2"/>
        <v>3170319.7600000002</v>
      </c>
      <c r="J25" s="157">
        <f t="shared" si="2"/>
        <v>3564998.6032000002</v>
      </c>
      <c r="K25" s="158">
        <f t="shared" si="2"/>
        <v>3697423.6850240007</v>
      </c>
      <c r="L25" s="13"/>
      <c r="M25" s="13"/>
    </row>
    <row r="26" spans="1:13" x14ac:dyDescent="0.25">
      <c r="A26" s="115" t="s">
        <v>64</v>
      </c>
      <c r="B26" s="26">
        <v>0.45</v>
      </c>
      <c r="C26" s="190" t="s">
        <v>30</v>
      </c>
      <c r="D26" s="13"/>
      <c r="E26" s="61" t="s">
        <v>185</v>
      </c>
      <c r="F26" s="6">
        <f t="shared" ref="F26:K26" si="3">F21+F25</f>
        <v>49300543.624230802</v>
      </c>
      <c r="G26" s="6">
        <f t="shared" si="3"/>
        <v>49124107.355333365</v>
      </c>
      <c r="H26" s="6">
        <f t="shared" si="3"/>
        <v>47309238.656663738</v>
      </c>
      <c r="I26" s="6">
        <f t="shared" si="3"/>
        <v>45028425.160970837</v>
      </c>
      <c r="J26" s="6">
        <f t="shared" si="3"/>
        <v>46171063.855911627</v>
      </c>
      <c r="K26" s="60">
        <f t="shared" si="3"/>
        <v>43977689.053452864</v>
      </c>
      <c r="L26" s="13"/>
      <c r="M26" s="13"/>
    </row>
    <row r="27" spans="1:13" x14ac:dyDescent="0.25">
      <c r="A27" s="115" t="s">
        <v>65</v>
      </c>
      <c r="B27" s="26">
        <v>0.1</v>
      </c>
      <c r="C27" s="190"/>
      <c r="D27" s="13"/>
      <c r="E27" s="32"/>
      <c r="F27" s="13"/>
      <c r="G27" s="13"/>
      <c r="H27" s="13"/>
      <c r="I27" s="13"/>
      <c r="J27" s="13"/>
      <c r="K27" s="48"/>
      <c r="L27" s="13"/>
      <c r="M27" s="13"/>
    </row>
    <row r="28" spans="1:13" x14ac:dyDescent="0.25">
      <c r="A28" s="115" t="s">
        <v>74</v>
      </c>
      <c r="B28" s="26">
        <v>1.4999999999999999E-2</v>
      </c>
      <c r="C28" s="190" t="s">
        <v>31</v>
      </c>
      <c r="D28" s="13"/>
      <c r="E28" s="159" t="s">
        <v>311</v>
      </c>
      <c r="F28" s="138">
        <f>B31+1</f>
        <v>2022</v>
      </c>
      <c r="G28" s="138">
        <f>F28+1</f>
        <v>2023</v>
      </c>
      <c r="H28" s="138">
        <f t="shared" ref="H28:K28" si="4">G28+1</f>
        <v>2024</v>
      </c>
      <c r="I28" s="138">
        <f t="shared" si="4"/>
        <v>2025</v>
      </c>
      <c r="J28" s="138">
        <f t="shared" si="4"/>
        <v>2026</v>
      </c>
      <c r="K28" s="141">
        <f t="shared" si="4"/>
        <v>2027</v>
      </c>
      <c r="L28" s="13"/>
      <c r="M28" s="13"/>
    </row>
    <row r="29" spans="1:13" x14ac:dyDescent="0.25">
      <c r="A29" s="115" t="s">
        <v>75</v>
      </c>
      <c r="B29" s="26">
        <v>0</v>
      </c>
      <c r="C29" s="190"/>
      <c r="D29" s="13"/>
      <c r="E29" s="56" t="s">
        <v>187</v>
      </c>
      <c r="F29" s="21">
        <f>Staffing!B169</f>
        <v>21840423.193142399</v>
      </c>
      <c r="G29" s="21">
        <f>Staffing!C169</f>
        <v>22213228.005987186</v>
      </c>
      <c r="H29" s="21">
        <f>Staffing!D169</f>
        <v>22654529.245682113</v>
      </c>
      <c r="I29" s="21">
        <f>Staffing!E169</f>
        <v>23190240.607229497</v>
      </c>
      <c r="J29" s="21">
        <f>Staffing!F169</f>
        <v>24234260.618310202</v>
      </c>
      <c r="K29" s="58">
        <f>Staffing!G169</f>
        <v>23946749.466302875</v>
      </c>
      <c r="L29" s="13"/>
      <c r="M29" s="13"/>
    </row>
    <row r="30" spans="1:13" x14ac:dyDescent="0.25">
      <c r="A30" s="191"/>
      <c r="B30" s="23"/>
      <c r="C30" s="48"/>
      <c r="D30" s="13"/>
      <c r="E30" s="56" t="s">
        <v>186</v>
      </c>
      <c r="F30" s="21">
        <f>Staffing!B170</f>
        <v>2085210.9056506408</v>
      </c>
      <c r="G30" s="21">
        <f>Staffing!C170</f>
        <v>2103164.4878976052</v>
      </c>
      <c r="H30" s="21">
        <f>Staffing!D170</f>
        <v>2124575.7162930984</v>
      </c>
      <c r="I30" s="21">
        <f>Staffing!E170</f>
        <v>2175600.7951156362</v>
      </c>
      <c r="J30" s="21">
        <f>Staffing!F170</f>
        <v>2194010.4567256537</v>
      </c>
      <c r="K30" s="58">
        <f>Staffing!G170</f>
        <v>2212076.4451999338</v>
      </c>
      <c r="L30" s="13"/>
      <c r="M30" s="13"/>
    </row>
    <row r="31" spans="1:13" ht="15.75" thickBot="1" x14ac:dyDescent="0.3">
      <c r="A31" s="192" t="s">
        <v>3</v>
      </c>
      <c r="B31" s="34">
        <v>2021</v>
      </c>
      <c r="C31" s="49"/>
      <c r="D31" s="13"/>
      <c r="E31" s="56" t="s">
        <v>188</v>
      </c>
      <c r="F31" s="21">
        <f>Staffing!B171</f>
        <v>1931744.2389839741</v>
      </c>
      <c r="G31" s="21">
        <f>Staffing!C171</f>
        <v>1946447.6975945749</v>
      </c>
      <c r="H31" s="21">
        <f>Staffing!D171</f>
        <v>1962869.4328149408</v>
      </c>
      <c r="I31" s="21">
        <f>Staffing!E171</f>
        <v>1995804.0400322839</v>
      </c>
      <c r="J31" s="21">
        <f>Staffing!F171</f>
        <v>2010405.8994454837</v>
      </c>
      <c r="K31" s="58">
        <f>Staffing!G171</f>
        <v>2024585.3473833546</v>
      </c>
      <c r="L31" s="13"/>
      <c r="M31" s="13"/>
    </row>
    <row r="32" spans="1:13" ht="15.75" thickBot="1" x14ac:dyDescent="0.3">
      <c r="A32" s="13"/>
      <c r="B32" s="14"/>
      <c r="C32" s="13"/>
      <c r="D32" s="13"/>
      <c r="E32" s="56" t="s">
        <v>189</v>
      </c>
      <c r="F32" s="21">
        <f>Staffing!B172</f>
        <v>4773922.3588773254</v>
      </c>
      <c r="G32" s="21">
        <f>Staffing!C172</f>
        <v>4869476.2230572514</v>
      </c>
      <c r="H32" s="21">
        <f>Staffing!D172</f>
        <v>4969987.6787650287</v>
      </c>
      <c r="I32" s="21">
        <f>Staffing!E172</f>
        <v>5095181.4336983208</v>
      </c>
      <c r="J32" s="21">
        <f>Staffing!F172</f>
        <v>5199094.0074775182</v>
      </c>
      <c r="K32" s="58">
        <f>Staffing!G172</f>
        <v>5305457.8223722931</v>
      </c>
      <c r="L32" s="13"/>
      <c r="M32" s="13"/>
    </row>
    <row r="33" spans="1:13" x14ac:dyDescent="0.25">
      <c r="A33" s="39"/>
      <c r="B33" s="145" t="s">
        <v>325</v>
      </c>
      <c r="C33" s="150" t="s">
        <v>326</v>
      </c>
      <c r="D33" s="13"/>
      <c r="E33" s="56" t="s">
        <v>190</v>
      </c>
      <c r="F33" s="21">
        <f>Staffing!B173</f>
        <v>3583460.8602582114</v>
      </c>
      <c r="G33" s="21">
        <f>Staffing!C173</f>
        <v>3621860.3788789762</v>
      </c>
      <c r="H33" s="21">
        <f>Staffing!D173</f>
        <v>3938297.2266063797</v>
      </c>
      <c r="I33" s="21">
        <f>Staffing!E173</f>
        <v>4015202.6448952025</v>
      </c>
      <c r="J33" s="21">
        <f>Staffing!F173</f>
        <v>4056548.664169834</v>
      </c>
      <c r="K33" s="58">
        <f>Staffing!G173</f>
        <v>4097613.0081605283</v>
      </c>
      <c r="L33" s="13"/>
      <c r="M33" s="13"/>
    </row>
    <row r="34" spans="1:13" x14ac:dyDescent="0.25">
      <c r="A34" s="183" t="s">
        <v>169</v>
      </c>
      <c r="B34" s="138" t="s">
        <v>324</v>
      </c>
      <c r="C34" s="141" t="s">
        <v>327</v>
      </c>
      <c r="D34" s="13"/>
      <c r="E34" s="56" t="s">
        <v>191</v>
      </c>
      <c r="F34" s="21">
        <f>Staffing!B174</f>
        <v>2544255.1551465457</v>
      </c>
      <c r="G34" s="21">
        <f>Staffing!C174</f>
        <v>2575208.5613606088</v>
      </c>
      <c r="H34" s="21">
        <f>Staffing!D174</f>
        <v>2611761.0566573497</v>
      </c>
      <c r="I34" s="21">
        <f>Staffing!E174</f>
        <v>2691967.6789448168</v>
      </c>
      <c r="J34" s="21">
        <f>Staffing!F174</f>
        <v>2725017.9406139478</v>
      </c>
      <c r="K34" s="58">
        <f>Staffing!G174</f>
        <v>2938173.3375840527</v>
      </c>
      <c r="L34" s="13"/>
      <c r="M34" s="13"/>
    </row>
    <row r="35" spans="1:13" x14ac:dyDescent="0.25">
      <c r="A35" s="117">
        <f>F3</f>
        <v>2022</v>
      </c>
      <c r="B35" s="84">
        <f>Enrollment!B69</f>
        <v>19.580922935587719</v>
      </c>
      <c r="C35" s="184">
        <f>Enrollment!B70</f>
        <v>12.913913561944845</v>
      </c>
      <c r="D35" s="13"/>
      <c r="E35" s="56" t="s">
        <v>192</v>
      </c>
      <c r="F35" s="21">
        <f>Staffing!B175</f>
        <v>1958649.9546075705</v>
      </c>
      <c r="G35" s="21">
        <f>Staffing!C175</f>
        <v>1988846.2618904624</v>
      </c>
      <c r="H35" s="21">
        <f>Staffing!D175</f>
        <v>2024748.8274577542</v>
      </c>
      <c r="I35" s="21">
        <f>Staffing!E175</f>
        <v>2103292.2955999528</v>
      </c>
      <c r="J35" s="21">
        <f>Staffing!F175</f>
        <v>2136119.6897141249</v>
      </c>
      <c r="K35" s="58">
        <f>Staffing!G175</f>
        <v>2169326.3628626689</v>
      </c>
      <c r="L35" s="13"/>
      <c r="M35" s="13"/>
    </row>
    <row r="36" spans="1:13" x14ac:dyDescent="0.25">
      <c r="A36" s="117">
        <f>G3</f>
        <v>2023</v>
      </c>
      <c r="B36" s="84">
        <f>Enrollment!C69</f>
        <v>17.516023808633278</v>
      </c>
      <c r="C36" s="184">
        <f>Enrollment!C70</f>
        <v>11.854286154745218</v>
      </c>
      <c r="D36" s="13"/>
      <c r="E36" s="56" t="s">
        <v>194</v>
      </c>
      <c r="F36" s="21">
        <f>Staffing!B176</f>
        <v>9206725.2375826053</v>
      </c>
      <c r="G36" s="21">
        <f>Staffing!C176</f>
        <v>9370291.0081865005</v>
      </c>
      <c r="H36" s="21">
        <f>Staffing!D176</f>
        <v>9810567.3492289931</v>
      </c>
      <c r="I36" s="21">
        <f>Staffing!E176</f>
        <v>9674034.2846209798</v>
      </c>
      <c r="J36" s="21">
        <f>Staffing!F176</f>
        <v>10646808.260892175</v>
      </c>
      <c r="K36" s="58">
        <f>Staffing!G176</f>
        <v>11107998.526183944</v>
      </c>
      <c r="L36" s="13"/>
      <c r="M36" s="13"/>
    </row>
    <row r="37" spans="1:13" x14ac:dyDescent="0.25">
      <c r="A37" s="117">
        <f>H3</f>
        <v>2024</v>
      </c>
      <c r="B37" s="84">
        <f>Enrollment!D69</f>
        <v>15.827542592269737</v>
      </c>
      <c r="C37" s="184">
        <f>Enrollment!D70</f>
        <v>11.119622713907658</v>
      </c>
      <c r="D37" s="13"/>
      <c r="E37" s="56" t="s">
        <v>193</v>
      </c>
      <c r="F37" s="21">
        <f>Staffing!B177</f>
        <v>0</v>
      </c>
      <c r="G37" s="21">
        <f>Staffing!C177</f>
        <v>0</v>
      </c>
      <c r="H37" s="21">
        <f>Staffing!D177</f>
        <v>0</v>
      </c>
      <c r="I37" s="21">
        <f>Staffing!E177</f>
        <v>0</v>
      </c>
      <c r="J37" s="21">
        <f>Staffing!F177</f>
        <v>0</v>
      </c>
      <c r="K37" s="58">
        <f>Staffing!G177</f>
        <v>0</v>
      </c>
      <c r="L37" s="13"/>
      <c r="M37" s="13"/>
    </row>
    <row r="38" spans="1:13" x14ac:dyDescent="0.25">
      <c r="A38" s="117">
        <f>I3</f>
        <v>2025</v>
      </c>
      <c r="B38" s="84">
        <f>Enrollment!E69</f>
        <v>14.553449719846533</v>
      </c>
      <c r="C38" s="184">
        <f>Enrollment!E70</f>
        <v>10.482659062670939</v>
      </c>
      <c r="D38" s="13"/>
      <c r="E38" s="56" t="s">
        <v>197</v>
      </c>
      <c r="F38" s="21">
        <f>Staffing!B178</f>
        <v>0</v>
      </c>
      <c r="G38" s="21">
        <f>Staffing!C178</f>
        <v>0</v>
      </c>
      <c r="H38" s="21">
        <f>Staffing!D178</f>
        <v>0</v>
      </c>
      <c r="I38" s="21">
        <f>Staffing!E178</f>
        <v>0</v>
      </c>
      <c r="J38" s="21">
        <f>Staffing!F178</f>
        <v>0</v>
      </c>
      <c r="K38" s="58">
        <f>Staffing!G178</f>
        <v>0</v>
      </c>
      <c r="L38" s="13"/>
      <c r="M38" s="13"/>
    </row>
    <row r="39" spans="1:13" x14ac:dyDescent="0.25">
      <c r="A39" s="117">
        <f>J3</f>
        <v>2026</v>
      </c>
      <c r="B39" s="84">
        <f>Enrollment!F69</f>
        <v>13.13683275703384</v>
      </c>
      <c r="C39" s="184">
        <f>Enrollment!F70</f>
        <v>9.6654873707122455</v>
      </c>
      <c r="D39" s="13"/>
      <c r="E39" s="56" t="s">
        <v>196</v>
      </c>
      <c r="F39" s="5">
        <f>Staffing!B179</f>
        <v>0</v>
      </c>
      <c r="G39" s="5">
        <f>Staffing!C179</f>
        <v>0</v>
      </c>
      <c r="H39" s="5">
        <f>Staffing!D179</f>
        <v>0</v>
      </c>
      <c r="I39" s="5">
        <f>Staffing!E179</f>
        <v>0</v>
      </c>
      <c r="J39" s="5">
        <f>Staffing!F179</f>
        <v>0</v>
      </c>
      <c r="K39" s="59">
        <f>Staffing!G179</f>
        <v>0</v>
      </c>
      <c r="L39" s="13"/>
      <c r="M39" s="13"/>
    </row>
    <row r="40" spans="1:13" ht="15.75" thickBot="1" x14ac:dyDescent="0.3">
      <c r="A40" s="185">
        <f>K3</f>
        <v>2027</v>
      </c>
      <c r="B40" s="186">
        <f>Enrollment!G69</f>
        <v>12.397881776077941</v>
      </c>
      <c r="C40" s="187">
        <f>Enrollment!G70</f>
        <v>9.7247766029148455</v>
      </c>
      <c r="D40" s="13"/>
      <c r="E40" s="61" t="s">
        <v>198</v>
      </c>
      <c r="F40" s="21">
        <f>SUM(F29:F39)</f>
        <v>47924391.904249281</v>
      </c>
      <c r="G40" s="21">
        <f t="shared" ref="G40:K40" si="5">SUM(G29:G39)</f>
        <v>48688522.624853164</v>
      </c>
      <c r="H40" s="21">
        <f t="shared" si="5"/>
        <v>50097336.533505656</v>
      </c>
      <c r="I40" s="21">
        <f t="shared" si="5"/>
        <v>50941323.78013669</v>
      </c>
      <c r="J40" s="21">
        <f t="shared" si="5"/>
        <v>53202265.537348941</v>
      </c>
      <c r="K40" s="58">
        <f t="shared" si="5"/>
        <v>53801980.31604965</v>
      </c>
      <c r="L40" s="13"/>
      <c r="M40" s="13"/>
    </row>
    <row r="41" spans="1:13" ht="6.75" customHeight="1" x14ac:dyDescent="0.25">
      <c r="A41" s="13"/>
      <c r="B41" s="13"/>
      <c r="C41" s="13"/>
      <c r="D41" s="13"/>
      <c r="E41" s="32"/>
      <c r="F41" s="13"/>
      <c r="G41" s="13"/>
      <c r="H41" s="13"/>
      <c r="I41" s="13"/>
      <c r="J41" s="13"/>
      <c r="K41" s="48"/>
      <c r="L41" s="13"/>
      <c r="M41" s="13"/>
    </row>
    <row r="42" spans="1:13" ht="15.75" thickBot="1" x14ac:dyDescent="0.3">
      <c r="A42" s="13"/>
      <c r="B42" s="13"/>
      <c r="C42" s="13"/>
      <c r="D42" s="13"/>
      <c r="E42" s="129" t="s">
        <v>23</v>
      </c>
      <c r="F42" s="63">
        <f t="shared" ref="F42:K42" si="6">F26-F40</f>
        <v>1376151.7199815214</v>
      </c>
      <c r="G42" s="63">
        <f t="shared" si="6"/>
        <v>435584.73048020154</v>
      </c>
      <c r="H42" s="63">
        <f t="shared" si="6"/>
        <v>-2788097.8768419176</v>
      </c>
      <c r="I42" s="63">
        <f t="shared" si="6"/>
        <v>-5912898.6191658527</v>
      </c>
      <c r="J42" s="63">
        <f t="shared" si="6"/>
        <v>-7031201.6814373136</v>
      </c>
      <c r="K42" s="64">
        <f t="shared" si="6"/>
        <v>-9824291.262596786</v>
      </c>
      <c r="L42" s="13"/>
      <c r="M42" s="13"/>
    </row>
    <row r="43" spans="1:13" ht="7.5" customHeight="1" thickBot="1" x14ac:dyDescent="0.3">
      <c r="A43" s="13"/>
      <c r="B43" s="13"/>
      <c r="C43" s="13"/>
      <c r="D43" s="13"/>
      <c r="E43" s="45"/>
      <c r="F43" s="16"/>
      <c r="G43" s="16"/>
      <c r="H43" s="16"/>
      <c r="I43" s="16"/>
      <c r="J43" s="16"/>
      <c r="K43" s="128"/>
      <c r="L43" s="13"/>
      <c r="M43" s="13"/>
    </row>
    <row r="44" spans="1:13" x14ac:dyDescent="0.25">
      <c r="A44" s="13"/>
      <c r="B44" s="13"/>
      <c r="C44" s="13"/>
      <c r="D44" s="13"/>
      <c r="E44" s="54" t="s">
        <v>138</v>
      </c>
      <c r="F44" s="93">
        <f>Cash!B3</f>
        <v>2000000</v>
      </c>
      <c r="G44" s="93">
        <f>F45</f>
        <v>5355962.152989055</v>
      </c>
      <c r="H44" s="93">
        <f t="shared" ref="H44:K44" si="7">G45</f>
        <v>4772794.0239259675</v>
      </c>
      <c r="I44" s="93">
        <f t="shared" si="7"/>
        <v>1071300.5901423534</v>
      </c>
      <c r="J44" s="93">
        <f t="shared" si="7"/>
        <v>-5782956.7319545941</v>
      </c>
      <c r="K44" s="94">
        <f t="shared" si="7"/>
        <v>-13692693.403825797</v>
      </c>
      <c r="L44" s="13"/>
      <c r="M44" s="13"/>
    </row>
    <row r="45" spans="1:13" ht="15.75" thickBot="1" x14ac:dyDescent="0.3">
      <c r="A45" s="13"/>
      <c r="B45" s="13"/>
      <c r="C45" s="13"/>
      <c r="D45" s="13"/>
      <c r="E45" s="62" t="s">
        <v>139</v>
      </c>
      <c r="F45" s="63">
        <f>Cash!B14</f>
        <v>5355962.152989055</v>
      </c>
      <c r="G45" s="63">
        <f>Cash!C14</f>
        <v>4772794.0239259675</v>
      </c>
      <c r="H45" s="63">
        <f>Cash!D14</f>
        <v>1071300.5901423534</v>
      </c>
      <c r="I45" s="63">
        <f>Cash!E14</f>
        <v>-5782956.7319545941</v>
      </c>
      <c r="J45" s="63">
        <f>Cash!F14</f>
        <v>-13692693.403825797</v>
      </c>
      <c r="K45" s="64">
        <f>Cash!G14</f>
        <v>-24801266.219206117</v>
      </c>
      <c r="L45" s="13"/>
      <c r="M45" s="13"/>
    </row>
    <row r="46" spans="1:13" ht="15.75" thickBot="1" x14ac:dyDescent="0.3">
      <c r="A46" s="13"/>
      <c r="B46" s="13"/>
      <c r="C46" s="13"/>
      <c r="D46" s="13"/>
      <c r="E46" s="62" t="s">
        <v>322</v>
      </c>
      <c r="F46" s="63">
        <f>Endow!B3</f>
        <v>50000000</v>
      </c>
      <c r="G46" s="63">
        <f>Endow!C3</f>
        <v>52900000</v>
      </c>
      <c r="H46" s="63">
        <f>Endow!D3</f>
        <v>55522916.666666664</v>
      </c>
      <c r="I46" s="63">
        <f>Endow!E3</f>
        <v>58306250</v>
      </c>
      <c r="J46" s="63">
        <f>Endow!F3</f>
        <v>61218159.722222216</v>
      </c>
      <c r="K46" s="64">
        <f>Endow!G3</f>
        <v>64269965.277777769</v>
      </c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E61" s="13"/>
      <c r="F61" s="13"/>
      <c r="G61" s="13"/>
      <c r="H61" s="13"/>
      <c r="I61" s="13"/>
      <c r="J61" s="13"/>
      <c r="K61" s="13"/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DFCAB-73CD-4A70-AF83-5F5A1D3AB15E}">
  <dimension ref="A1:Q59"/>
  <sheetViews>
    <sheetView workbookViewId="0"/>
  </sheetViews>
  <sheetFormatPr defaultRowHeight="15" x14ac:dyDescent="0.25"/>
  <cols>
    <col min="1" max="1" width="28.85546875" customWidth="1"/>
    <col min="2" max="7" width="14" customWidth="1"/>
    <col min="8" max="8" width="32.5703125" customWidth="1"/>
  </cols>
  <sheetData>
    <row r="1" spans="1:17" x14ac:dyDescent="0.25">
      <c r="A1" s="203" t="str">
        <f>Summary!A1</f>
        <v>Frozen Pond College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137" t="s">
        <v>341</v>
      </c>
      <c r="B2" s="135">
        <f>Summary!F3</f>
        <v>2022</v>
      </c>
      <c r="C2" s="135">
        <f>Summary!G3</f>
        <v>2023</v>
      </c>
      <c r="D2" s="135">
        <f>Summary!H3</f>
        <v>2024</v>
      </c>
      <c r="E2" s="135">
        <f>Summary!I3</f>
        <v>2025</v>
      </c>
      <c r="F2" s="135">
        <f>Summary!J3</f>
        <v>2026</v>
      </c>
      <c r="G2" s="135">
        <f>Summary!K3</f>
        <v>2027</v>
      </c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25">
      <c r="A3" s="8" t="s">
        <v>342</v>
      </c>
      <c r="B3" s="204">
        <f>Enrollment!C15/Staffing!B58</f>
        <v>13.83306038734167</v>
      </c>
      <c r="C3" s="204">
        <f>Enrollment!E15/Staffing!C58</f>
        <v>12.655766417903113</v>
      </c>
      <c r="D3" s="204">
        <f>Enrollment!G15/Staffing!D58</f>
        <v>11.864121650080536</v>
      </c>
      <c r="E3" s="204">
        <f>Enrollment!I15/Staffing!E58</f>
        <v>10.540072976700165</v>
      </c>
      <c r="F3" s="204">
        <f>Enrollment!K15/Staffing!F58</f>
        <v>9.9977230634444574</v>
      </c>
      <c r="G3" s="204">
        <f>Enrollment!M15/Staffing!G58</f>
        <v>9.6587153988583463</v>
      </c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25">
      <c r="A4" s="8" t="s">
        <v>343</v>
      </c>
      <c r="B4" s="204">
        <f>Enrollment!C7/Staffing!B37</f>
        <v>25.513653669484647</v>
      </c>
      <c r="C4" s="204">
        <f>Enrollment!E7/Staffing!C37</f>
        <v>24.162465302035539</v>
      </c>
      <c r="D4" s="204">
        <f>Enrollment!G7/Staffing!D37</f>
        <v>23.123851581913666</v>
      </c>
      <c r="E4" s="204">
        <f>Enrollment!I7/Staffing!E37</f>
        <v>21.386881606857642</v>
      </c>
      <c r="F4" s="204">
        <f>Enrollment!K7/Staffing!F37</f>
        <v>20.162936243877702</v>
      </c>
      <c r="G4" s="204">
        <f>Enrollment!M7/Staffing!G37</f>
        <v>18.693622381775253</v>
      </c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7" x14ac:dyDescent="0.25">
      <c r="A5" s="8" t="s">
        <v>344</v>
      </c>
      <c r="B5" s="204">
        <f>Enrollment!C7/Staffing!B55</f>
        <v>18.555384486897925</v>
      </c>
      <c r="C5" s="204">
        <f>Enrollment!E7/Staffing!C55</f>
        <v>17.450669384803447</v>
      </c>
      <c r="D5" s="204">
        <f>Enrollment!G7/Staffing!D55</f>
        <v>16.272340002087393</v>
      </c>
      <c r="E5" s="204">
        <f>Enrollment!I7/Staffing!E55</f>
        <v>14.930464517994954</v>
      </c>
      <c r="F5" s="204">
        <f>Enrollment!K7/Staffing!F55</f>
        <v>14.475954226373734</v>
      </c>
      <c r="G5" s="204">
        <f>Enrollment!M7/Staffing!G55</f>
        <v>12.828956536512425</v>
      </c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x14ac:dyDescent="0.25">
      <c r="A6" s="8" t="s">
        <v>345</v>
      </c>
      <c r="B6" s="204">
        <f>Staffing!B37/Staffing!B55</f>
        <v>0.72727272727272729</v>
      </c>
      <c r="C6" s="204">
        <f>Staffing!C37/Staffing!C55</f>
        <v>0.72222222222222232</v>
      </c>
      <c r="D6" s="204">
        <f>Staffing!D37/Staffing!D55</f>
        <v>0.70370370370370372</v>
      </c>
      <c r="E6" s="204">
        <f>Staffing!E37/Staffing!E55</f>
        <v>0.69811320754716966</v>
      </c>
      <c r="F6" s="204">
        <f>Staffing!F37/Staffing!F55</f>
        <v>0.71794871794871795</v>
      </c>
      <c r="G6" s="204">
        <f>Staffing!G37/Staffing!G55</f>
        <v>0.68627450980392146</v>
      </c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x14ac:dyDescent="0.25">
      <c r="A7" s="8" t="s">
        <v>346</v>
      </c>
      <c r="B7" s="205">
        <f>Summary!F40/Enrollment!C15</f>
        <v>27495.890717606002</v>
      </c>
      <c r="C7" s="205">
        <f>Summary!G40/Enrollment!D15</f>
        <v>32215.453181893259</v>
      </c>
      <c r="D7" s="205">
        <f>Summary!H40/Enrollment!E15</f>
        <v>31566.661247052511</v>
      </c>
      <c r="E7" s="205">
        <f>Summary!I40/Enrollment!F15</f>
        <v>36753.622214916155</v>
      </c>
      <c r="F7" s="205">
        <f>Summary!J40/Enrollment!G15</f>
        <v>35931.88077461256</v>
      </c>
      <c r="G7" s="205">
        <f>Summary!K40/Enrollment!H15</f>
        <v>41551.85236748396</v>
      </c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 x14ac:dyDescent="0.25">
      <c r="A8" s="8" t="s">
        <v>347</v>
      </c>
      <c r="B8" s="27">
        <f>Summary!F42/Summary!F21</f>
        <v>2.9622981728788397E-2</v>
      </c>
      <c r="C8" s="27">
        <f>Summary!G42/Summary!G21</f>
        <v>9.4436313085861819E-3</v>
      </c>
      <c r="D8" s="27">
        <f>Summary!H42/Summary!H21</f>
        <v>-6.3005796091840968E-2</v>
      </c>
      <c r="E8" s="27">
        <f>Summary!I42/Summary!I21</f>
        <v>-0.14126054111920486</v>
      </c>
      <c r="F8" s="27">
        <f>Summary!J42/Summary!J21</f>
        <v>-0.16502818647375139</v>
      </c>
      <c r="G8" s="27">
        <f>Summary!K42/Summary!K21</f>
        <v>-0.24389837486763269</v>
      </c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17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17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17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1:17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17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26EAE-6469-47B7-AC92-C4C09F936CD4}">
  <dimension ref="A1:P79"/>
  <sheetViews>
    <sheetView zoomScaleNormal="100" workbookViewId="0"/>
  </sheetViews>
  <sheetFormatPr defaultRowHeight="15" x14ac:dyDescent="0.25"/>
  <cols>
    <col min="1" max="1" width="42" customWidth="1"/>
    <col min="2" max="2" width="14.85546875" customWidth="1"/>
    <col min="3" max="14" width="11.7109375" customWidth="1"/>
  </cols>
  <sheetData>
    <row r="1" spans="1:16" ht="15.75" x14ac:dyDescent="0.25">
      <c r="A1" s="86" t="str">
        <f>Summary!A1</f>
        <v>Frozen Pond College</v>
      </c>
      <c r="B1" s="13"/>
      <c r="C1" s="8"/>
      <c r="D1" s="11" t="s">
        <v>80</v>
      </c>
      <c r="E1" s="166">
        <f>Summary!B3</f>
        <v>-0.01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x14ac:dyDescent="0.25">
      <c r="A2" s="11" t="s">
        <v>40</v>
      </c>
      <c r="B2" s="12" t="s">
        <v>41</v>
      </c>
      <c r="C2" s="138" t="str">
        <f>"Fall "&amp; TEXT(-1+RIGHT(Summary!F3,2),"00")</f>
        <v>Fall 21</v>
      </c>
      <c r="D2" s="138" t="str">
        <f>"Spring "&amp; TEXT(+RIGHT(Summary!F3,2),"00")</f>
        <v>Spring 22</v>
      </c>
      <c r="E2" s="138" t="str">
        <f>"Fall "&amp; TEXT(-1+RIGHT(Summary!G3,2),"00")</f>
        <v>Fall 22</v>
      </c>
      <c r="F2" s="138" t="str">
        <f>"Spring "&amp; TEXT(+RIGHT(Summary!G3,2),"00")</f>
        <v>Spring 23</v>
      </c>
      <c r="G2" s="138" t="str">
        <f>"Fall "&amp; TEXT(-1+RIGHT(Summary!H3,2),"00")</f>
        <v>Fall 23</v>
      </c>
      <c r="H2" s="138" t="str">
        <f>"Spring "&amp; TEXT(+RIGHT(Summary!H3,2),"00")</f>
        <v>Spring 24</v>
      </c>
      <c r="I2" s="138" t="str">
        <f>"Fall "&amp; TEXT(-1+RIGHT(Summary!I3,2),"00")</f>
        <v>Fall 24</v>
      </c>
      <c r="J2" s="138" t="str">
        <f>"Spring "&amp; TEXT(+RIGHT(Summary!I3,2),"00")</f>
        <v>Spring 25</v>
      </c>
      <c r="K2" s="138" t="str">
        <f>"Fall "&amp; TEXT(-1+RIGHT(Summary!J3,2),"00")</f>
        <v>Fall 25</v>
      </c>
      <c r="L2" s="138" t="str">
        <f>"Spring "&amp; TEXT(+RIGHT(Summary!J3,2),"00")</f>
        <v>Spring 26</v>
      </c>
      <c r="M2" s="138" t="str">
        <f>"Fall "&amp; TEXT(-1+RIGHT(Summary!K3,2),"00")</f>
        <v>Fall 26</v>
      </c>
      <c r="N2" s="138" t="str">
        <f>"Spring "&amp; TEXT(+RIGHT(Summary!K3,2),"00")</f>
        <v>Spring 27</v>
      </c>
      <c r="O2" s="13"/>
      <c r="P2" s="13"/>
    </row>
    <row r="3" spans="1:16" x14ac:dyDescent="0.25">
      <c r="A3" s="10" t="s">
        <v>35</v>
      </c>
      <c r="B3" s="169">
        <v>0.4</v>
      </c>
      <c r="C3" s="136">
        <v>320</v>
      </c>
      <c r="D3" s="21">
        <f>C3*$B$3</f>
        <v>128</v>
      </c>
      <c r="E3" s="21">
        <f>C3*(1+$E$1)</f>
        <v>316.8</v>
      </c>
      <c r="F3" s="21">
        <f>E3*$B$3</f>
        <v>126.72000000000001</v>
      </c>
      <c r="G3" s="21">
        <f>E3*(1+$E$1)</f>
        <v>313.63200000000001</v>
      </c>
      <c r="H3" s="21">
        <f>G3*$B$3</f>
        <v>125.45280000000001</v>
      </c>
      <c r="I3" s="21">
        <f>G3*(1+$E$1)</f>
        <v>310.49567999999999</v>
      </c>
      <c r="J3" s="21">
        <f>I3*$B$3</f>
        <v>124.198272</v>
      </c>
      <c r="K3" s="21">
        <f>I3*(1+$E$1)</f>
        <v>307.39072319999997</v>
      </c>
      <c r="L3" s="21">
        <f>K3*$B$3</f>
        <v>122.95628927999999</v>
      </c>
      <c r="M3" s="21">
        <f>K3*(1+$E$1)</f>
        <v>304.31681596799996</v>
      </c>
      <c r="N3" s="21">
        <f>M3*$B$3</f>
        <v>121.72672638719999</v>
      </c>
      <c r="O3" s="13"/>
      <c r="P3" s="13"/>
    </row>
    <row r="4" spans="1:16" x14ac:dyDescent="0.25">
      <c r="A4" s="10" t="s">
        <v>36</v>
      </c>
      <c r="B4" s="170"/>
      <c r="C4" s="21">
        <f>StuFlow!P18</f>
        <v>1124.0895979528175</v>
      </c>
      <c r="D4" s="21">
        <f>StuFlow!P32</f>
        <v>1117.0895979528177</v>
      </c>
      <c r="E4" s="21">
        <f>StuFlow!P46</f>
        <v>972.84959795281759</v>
      </c>
      <c r="F4" s="21">
        <f>StuFlow!P60</f>
        <v>1002.2113979528177</v>
      </c>
      <c r="G4" s="21">
        <f>StuFlow!P74</f>
        <v>883.33617895281782</v>
      </c>
      <c r="H4" s="21">
        <f>StuFlow!P88</f>
        <v>927.72929626281768</v>
      </c>
      <c r="I4" s="21">
        <f>StuFlow!P102</f>
        <v>718.0141985853777</v>
      </c>
      <c r="J4" s="21">
        <f>StuFlow!P116</f>
        <v>802.24630084473517</v>
      </c>
      <c r="K4" s="21">
        <f>StuFlow!P130</f>
        <v>715.17335250709891</v>
      </c>
      <c r="L4" s="21">
        <f>StuFlow!P144</f>
        <v>785.06812758927163</v>
      </c>
      <c r="M4" s="21">
        <f>StuFlow!P158</f>
        <v>697.26742850476228</v>
      </c>
      <c r="N4" s="21">
        <f>StuFlow!P172</f>
        <v>720.61856704912987</v>
      </c>
      <c r="O4" s="13"/>
      <c r="P4" s="13"/>
    </row>
    <row r="5" spans="1:16" x14ac:dyDescent="0.25">
      <c r="A5" s="10" t="s">
        <v>37</v>
      </c>
      <c r="B5" s="171">
        <f>B3</f>
        <v>0.4</v>
      </c>
      <c r="C5" s="2">
        <v>80</v>
      </c>
      <c r="D5" s="4">
        <f>C5*$B$3</f>
        <v>32</v>
      </c>
      <c r="E5" s="4">
        <f>C5*(1+$E$1)</f>
        <v>79.2</v>
      </c>
      <c r="F5" s="4">
        <f>E5*$B$3</f>
        <v>31.680000000000003</v>
      </c>
      <c r="G5" s="4">
        <f>E5*(1+$E$1)</f>
        <v>78.408000000000001</v>
      </c>
      <c r="H5" s="4">
        <f>G5*$B$3</f>
        <v>31.363200000000003</v>
      </c>
      <c r="I5" s="4">
        <f>G5*(1+$E$1)</f>
        <v>77.623919999999998</v>
      </c>
      <c r="J5" s="4">
        <f>I5*$B$3</f>
        <v>31.049568000000001</v>
      </c>
      <c r="K5" s="4">
        <f>I5*(1+$E$1)</f>
        <v>76.847680799999992</v>
      </c>
      <c r="L5" s="4">
        <f>K5*$B$3</f>
        <v>30.739072319999998</v>
      </c>
      <c r="M5" s="4">
        <f>K5*(1+$E$1)</f>
        <v>76.079203991999989</v>
      </c>
      <c r="N5" s="4">
        <f>M5*$B$3</f>
        <v>30.431681596799997</v>
      </c>
      <c r="O5" s="13"/>
      <c r="P5" s="13"/>
    </row>
    <row r="6" spans="1:16" x14ac:dyDescent="0.25">
      <c r="A6" s="10" t="s">
        <v>38</v>
      </c>
      <c r="B6" s="72"/>
      <c r="C6" s="157">
        <f>StuFlow!Q18</f>
        <v>1537.5488423853401</v>
      </c>
      <c r="D6" s="5">
        <f>StuFlow!Q32</f>
        <v>1535.5488423853401</v>
      </c>
      <c r="E6" s="5">
        <f>StuFlow!Q46</f>
        <v>1458.15884238534</v>
      </c>
      <c r="F6" s="5">
        <f>StuFlow!Q60</f>
        <v>1442.3475423853401</v>
      </c>
      <c r="G6" s="5">
        <f>StuFlow!Q74</f>
        <v>1360.7429013853402</v>
      </c>
      <c r="H6" s="5">
        <f>StuFlow!Q88</f>
        <v>1344.1492529253405</v>
      </c>
      <c r="I6" s="5">
        <f>StuFlow!Q102</f>
        <v>1267.8100597758203</v>
      </c>
      <c r="J6" s="5">
        <f>StuFlow!Q116</f>
        <v>1240.1798002418436</v>
      </c>
      <c r="K6" s="5">
        <f>StuFlow!Q130</f>
        <v>1158.8371028072036</v>
      </c>
      <c r="L6" s="5">
        <f>StuFlow!Q144</f>
        <v>1142.2462731237056</v>
      </c>
      <c r="M6" s="5">
        <f>StuFlow!Q158</f>
        <v>885.16690162163923</v>
      </c>
      <c r="N6" s="5">
        <f>StuFlow!Q172</f>
        <v>749.03627372049164</v>
      </c>
      <c r="O6" s="13"/>
      <c r="P6" s="13"/>
    </row>
    <row r="7" spans="1:16" x14ac:dyDescent="0.25">
      <c r="A7" s="10" t="s">
        <v>42</v>
      </c>
      <c r="B7" s="72"/>
      <c r="C7" s="21">
        <f>SUM(C3:C6)</f>
        <v>3061.6384403381576</v>
      </c>
      <c r="D7" s="21">
        <f>SUM(D3:D6)</f>
        <v>2812.638440338158</v>
      </c>
      <c r="E7" s="21">
        <f t="shared" ref="E7:N7" si="0">SUM(E3:E6)</f>
        <v>2827.0084403381579</v>
      </c>
      <c r="F7" s="21">
        <f t="shared" si="0"/>
        <v>2602.9589403381578</v>
      </c>
      <c r="G7" s="21">
        <f t="shared" si="0"/>
        <v>2636.1190803381578</v>
      </c>
      <c r="H7" s="21">
        <f t="shared" si="0"/>
        <v>2428.6945491881579</v>
      </c>
      <c r="I7" s="21">
        <f t="shared" si="0"/>
        <v>2373.9438583611982</v>
      </c>
      <c r="J7" s="21">
        <f t="shared" si="0"/>
        <v>2197.6739410865789</v>
      </c>
      <c r="K7" s="21">
        <f t="shared" si="0"/>
        <v>2258.2488593143025</v>
      </c>
      <c r="L7" s="21">
        <f t="shared" si="0"/>
        <v>2081.0097623129773</v>
      </c>
      <c r="M7" s="21">
        <f t="shared" si="0"/>
        <v>1962.8303500864015</v>
      </c>
      <c r="N7" s="21">
        <f t="shared" si="0"/>
        <v>1621.8132487536213</v>
      </c>
      <c r="O7" s="13"/>
      <c r="P7" s="13"/>
    </row>
    <row r="8" spans="1:16" x14ac:dyDescent="0.25">
      <c r="A8" s="22"/>
      <c r="B8" s="22"/>
      <c r="C8" s="2">
        <v>330</v>
      </c>
      <c r="D8" s="207" t="s">
        <v>348</v>
      </c>
      <c r="E8" s="207"/>
      <c r="F8" s="207"/>
      <c r="G8" s="207"/>
      <c r="H8" s="207"/>
      <c r="I8" s="207"/>
      <c r="J8" s="207"/>
      <c r="K8" s="207"/>
      <c r="L8" s="22"/>
      <c r="M8" s="22"/>
      <c r="N8" s="22"/>
      <c r="O8" s="13"/>
      <c r="P8" s="13"/>
    </row>
    <row r="9" spans="1:16" x14ac:dyDescent="0.25">
      <c r="A9" s="19" t="s">
        <v>43</v>
      </c>
      <c r="B9" s="85" t="s">
        <v>47</v>
      </c>
      <c r="C9" s="2">
        <v>80</v>
      </c>
      <c r="D9" s="207" t="s">
        <v>349</v>
      </c>
      <c r="E9" s="207"/>
      <c r="F9" s="207"/>
      <c r="G9" s="207"/>
      <c r="H9" s="207"/>
      <c r="I9" s="207"/>
      <c r="J9" s="207"/>
      <c r="K9" s="207"/>
      <c r="L9" s="22"/>
      <c r="M9" s="22"/>
      <c r="N9" s="13"/>
      <c r="O9" s="13"/>
      <c r="P9" s="13"/>
    </row>
    <row r="10" spans="1:16" x14ac:dyDescent="0.25">
      <c r="A10" s="10" t="s">
        <v>35</v>
      </c>
      <c r="B10" s="2">
        <v>17</v>
      </c>
      <c r="C10" s="21">
        <f t="shared" ref="C10:N10" si="1">C3*$B10</f>
        <v>5440</v>
      </c>
      <c r="D10" s="21">
        <f t="shared" si="1"/>
        <v>2176</v>
      </c>
      <c r="E10" s="21">
        <f t="shared" si="1"/>
        <v>5385.6</v>
      </c>
      <c r="F10" s="21">
        <f t="shared" si="1"/>
        <v>2154.2400000000002</v>
      </c>
      <c r="G10" s="21">
        <f t="shared" si="1"/>
        <v>5331.7439999999997</v>
      </c>
      <c r="H10" s="21">
        <f t="shared" si="1"/>
        <v>2132.6976</v>
      </c>
      <c r="I10" s="21">
        <f t="shared" si="1"/>
        <v>5278.4265599999999</v>
      </c>
      <c r="J10" s="21">
        <f t="shared" si="1"/>
        <v>2111.3706240000001</v>
      </c>
      <c r="K10" s="21">
        <f t="shared" si="1"/>
        <v>5225.6422943999996</v>
      </c>
      <c r="L10" s="21">
        <f t="shared" si="1"/>
        <v>2090.2569177599999</v>
      </c>
      <c r="M10" s="21">
        <f t="shared" si="1"/>
        <v>5173.3858714559992</v>
      </c>
      <c r="N10" s="21">
        <f t="shared" si="1"/>
        <v>2069.3543485823998</v>
      </c>
      <c r="O10" s="13"/>
      <c r="P10" s="13"/>
    </row>
    <row r="11" spans="1:16" x14ac:dyDescent="0.25">
      <c r="A11" s="10" t="s">
        <v>36</v>
      </c>
      <c r="B11" s="2">
        <v>14</v>
      </c>
      <c r="C11" s="21">
        <f t="shared" ref="C11:N11" si="2">C4*$B11</f>
        <v>15737.254371339444</v>
      </c>
      <c r="D11" s="21">
        <f t="shared" si="2"/>
        <v>15639.254371339448</v>
      </c>
      <c r="E11" s="21">
        <f t="shared" si="2"/>
        <v>13619.894371339446</v>
      </c>
      <c r="F11" s="21">
        <f t="shared" si="2"/>
        <v>14030.959571339448</v>
      </c>
      <c r="G11" s="21">
        <f t="shared" si="2"/>
        <v>12366.706505339449</v>
      </c>
      <c r="H11" s="21">
        <f t="shared" si="2"/>
        <v>12988.210147679447</v>
      </c>
      <c r="I11" s="21">
        <f t="shared" si="2"/>
        <v>10052.198780195287</v>
      </c>
      <c r="J11" s="21">
        <f t="shared" si="2"/>
        <v>11231.448211826293</v>
      </c>
      <c r="K11" s="21">
        <f t="shared" si="2"/>
        <v>10012.426935099385</v>
      </c>
      <c r="L11" s="21">
        <f t="shared" si="2"/>
        <v>10990.953786249804</v>
      </c>
      <c r="M11" s="21">
        <f t="shared" si="2"/>
        <v>9761.7439990666717</v>
      </c>
      <c r="N11" s="21">
        <f t="shared" si="2"/>
        <v>10088.659938687819</v>
      </c>
      <c r="O11" s="13"/>
      <c r="P11" s="13"/>
    </row>
    <row r="12" spans="1:16" x14ac:dyDescent="0.25">
      <c r="A12" s="10" t="s">
        <v>37</v>
      </c>
      <c r="B12" s="2">
        <v>7</v>
      </c>
      <c r="C12" s="21">
        <f t="shared" ref="C12:N12" si="3">C5*$B12</f>
        <v>560</v>
      </c>
      <c r="D12" s="21">
        <f t="shared" si="3"/>
        <v>224</v>
      </c>
      <c r="E12" s="21">
        <f t="shared" si="3"/>
        <v>554.4</v>
      </c>
      <c r="F12" s="21">
        <f t="shared" si="3"/>
        <v>221.76000000000002</v>
      </c>
      <c r="G12" s="21">
        <f t="shared" si="3"/>
        <v>548.85599999999999</v>
      </c>
      <c r="H12" s="21">
        <f t="shared" si="3"/>
        <v>219.54240000000001</v>
      </c>
      <c r="I12" s="21">
        <f t="shared" si="3"/>
        <v>543.36743999999999</v>
      </c>
      <c r="J12" s="21">
        <f t="shared" si="3"/>
        <v>217.34697600000001</v>
      </c>
      <c r="K12" s="21">
        <f t="shared" si="3"/>
        <v>537.9337655999999</v>
      </c>
      <c r="L12" s="21">
        <f t="shared" si="3"/>
        <v>215.17350623999999</v>
      </c>
      <c r="M12" s="21">
        <f t="shared" si="3"/>
        <v>532.55442794399994</v>
      </c>
      <c r="N12" s="21">
        <f t="shared" si="3"/>
        <v>213.02177117759999</v>
      </c>
      <c r="O12" s="13"/>
      <c r="P12" s="13"/>
    </row>
    <row r="13" spans="1:16" x14ac:dyDescent="0.25">
      <c r="A13" s="10" t="s">
        <v>38</v>
      </c>
      <c r="B13" s="2">
        <v>4</v>
      </c>
      <c r="C13" s="5">
        <f t="shared" ref="C13:N13" si="4">C6*$B13</f>
        <v>6150.1953695413604</v>
      </c>
      <c r="D13" s="5">
        <f t="shared" si="4"/>
        <v>6142.1953695413604</v>
      </c>
      <c r="E13" s="5">
        <f t="shared" si="4"/>
        <v>5832.63536954136</v>
      </c>
      <c r="F13" s="5">
        <f t="shared" si="4"/>
        <v>5769.3901695413606</v>
      </c>
      <c r="G13" s="5">
        <f t="shared" si="4"/>
        <v>5442.971605541361</v>
      </c>
      <c r="H13" s="5">
        <f t="shared" si="4"/>
        <v>5376.5970117013621</v>
      </c>
      <c r="I13" s="5">
        <f t="shared" si="4"/>
        <v>5071.2402391032811</v>
      </c>
      <c r="J13" s="5">
        <f t="shared" si="4"/>
        <v>4960.7192009673745</v>
      </c>
      <c r="K13" s="5">
        <f t="shared" si="4"/>
        <v>4635.3484112288143</v>
      </c>
      <c r="L13" s="5">
        <f t="shared" si="4"/>
        <v>4568.9850924948223</v>
      </c>
      <c r="M13" s="5">
        <f t="shared" si="4"/>
        <v>3540.6676064865569</v>
      </c>
      <c r="N13" s="5">
        <f t="shared" si="4"/>
        <v>2996.1450948819665</v>
      </c>
      <c r="O13" s="13"/>
      <c r="P13" s="13"/>
    </row>
    <row r="14" spans="1:16" x14ac:dyDescent="0.25">
      <c r="A14" s="10" t="s">
        <v>46</v>
      </c>
      <c r="B14" s="22"/>
      <c r="C14" s="21">
        <f>SUM(C10:C13)</f>
        <v>27887.449740880806</v>
      </c>
      <c r="D14" s="21">
        <f t="shared" ref="D14:N14" si="5">SUM(D10:D13)</f>
        <v>24181.449740880809</v>
      </c>
      <c r="E14" s="21">
        <f t="shared" si="5"/>
        <v>25392.529740880807</v>
      </c>
      <c r="F14" s="21">
        <f t="shared" si="5"/>
        <v>22176.349740880811</v>
      </c>
      <c r="G14" s="21">
        <f t="shared" si="5"/>
        <v>23690.278110880812</v>
      </c>
      <c r="H14" s="21">
        <f t="shared" si="5"/>
        <v>20717.047159380811</v>
      </c>
      <c r="I14" s="21">
        <f t="shared" si="5"/>
        <v>20945.233019298568</v>
      </c>
      <c r="J14" s="21">
        <f t="shared" si="5"/>
        <v>18520.885012793668</v>
      </c>
      <c r="K14" s="21">
        <f t="shared" si="5"/>
        <v>20411.351406328202</v>
      </c>
      <c r="L14" s="21">
        <f t="shared" si="5"/>
        <v>17865.369302744628</v>
      </c>
      <c r="M14" s="21">
        <f t="shared" si="5"/>
        <v>19008.351904953226</v>
      </c>
      <c r="N14" s="21">
        <f t="shared" si="5"/>
        <v>15367.181153329784</v>
      </c>
      <c r="O14" s="13"/>
      <c r="P14" s="13"/>
    </row>
    <row r="15" spans="1:16" x14ac:dyDescent="0.25">
      <c r="A15" s="10" t="s">
        <v>48</v>
      </c>
      <c r="B15" s="2">
        <v>16</v>
      </c>
      <c r="C15" s="21">
        <f>C14/$B15</f>
        <v>1742.9656088050504</v>
      </c>
      <c r="D15" s="21">
        <f t="shared" ref="D15:N15" si="6">D14/$B15</f>
        <v>1511.3406088050506</v>
      </c>
      <c r="E15" s="21">
        <f t="shared" si="6"/>
        <v>1587.0331088050505</v>
      </c>
      <c r="F15" s="21">
        <f t="shared" si="6"/>
        <v>1386.0218588050507</v>
      </c>
      <c r="G15" s="21">
        <f t="shared" si="6"/>
        <v>1480.6423819300508</v>
      </c>
      <c r="H15" s="21">
        <f t="shared" si="6"/>
        <v>1294.8154474613007</v>
      </c>
      <c r="I15" s="21">
        <f t="shared" si="6"/>
        <v>1309.0770637061605</v>
      </c>
      <c r="J15" s="21">
        <f t="shared" si="6"/>
        <v>1157.5553132996042</v>
      </c>
      <c r="K15" s="21">
        <f t="shared" si="6"/>
        <v>1275.7094628955126</v>
      </c>
      <c r="L15" s="21">
        <f t="shared" si="6"/>
        <v>1116.5855814215392</v>
      </c>
      <c r="M15" s="21">
        <f t="shared" si="6"/>
        <v>1188.0219940595766</v>
      </c>
      <c r="N15" s="21">
        <f t="shared" si="6"/>
        <v>960.44882208311151</v>
      </c>
      <c r="O15" s="13"/>
      <c r="P15" s="13"/>
    </row>
    <row r="16" spans="1:16" x14ac:dyDescent="0.25">
      <c r="A16" s="13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3"/>
      <c r="O16" s="13"/>
      <c r="P16" s="13"/>
    </row>
    <row r="17" spans="1:16" x14ac:dyDescent="0.25">
      <c r="A17" s="9" t="s">
        <v>293</v>
      </c>
      <c r="B17" s="78" t="str">
        <f>"Annual Rate above Inflation, "&amp;TEXT(Summary!B25,"0.0%")</f>
        <v>Annual Rate above Inflation, 2.0%</v>
      </c>
      <c r="C17" s="67"/>
      <c r="D17" s="67"/>
      <c r="E17" s="6"/>
      <c r="F17" s="6"/>
      <c r="G17" s="6"/>
      <c r="H17" s="6"/>
      <c r="I17" s="6"/>
      <c r="J17" s="6"/>
      <c r="K17" s="6"/>
      <c r="L17" s="6"/>
      <c r="M17" s="6"/>
      <c r="N17" s="13"/>
      <c r="O17" s="13"/>
      <c r="P17" s="13"/>
    </row>
    <row r="18" spans="1:16" x14ac:dyDescent="0.25">
      <c r="A18" s="10" t="s">
        <v>51</v>
      </c>
      <c r="B18" s="167">
        <f>Summary!B4</f>
        <v>0.02</v>
      </c>
      <c r="C18" s="25">
        <v>10000</v>
      </c>
      <c r="D18" s="6">
        <f>C18</f>
        <v>10000</v>
      </c>
      <c r="E18" s="6">
        <f>D18*(1+$B18+Summary!$B$25)</f>
        <v>10400</v>
      </c>
      <c r="F18" s="6">
        <f>E18</f>
        <v>10400</v>
      </c>
      <c r="G18" s="6">
        <f>F18*(1+$B18+Summary!$B$25)</f>
        <v>10816</v>
      </c>
      <c r="H18" s="6">
        <f>G18</f>
        <v>10816</v>
      </c>
      <c r="I18" s="6">
        <f>H18*(1+$B18+Summary!$B$25)</f>
        <v>11248.640000000001</v>
      </c>
      <c r="J18" s="6">
        <f>I18</f>
        <v>11248.640000000001</v>
      </c>
      <c r="K18" s="6">
        <f>J18*(1+$B18+Summary!$B$25)</f>
        <v>11698.585600000002</v>
      </c>
      <c r="L18" s="6">
        <f>K18</f>
        <v>11698.585600000002</v>
      </c>
      <c r="M18" s="6">
        <f>L18*(1+$B18+Summary!$B$25)</f>
        <v>12166.529024000003</v>
      </c>
      <c r="N18" s="6">
        <f>M18</f>
        <v>12166.529024000003</v>
      </c>
      <c r="O18" s="13"/>
      <c r="P18" s="13"/>
    </row>
    <row r="19" spans="1:16" x14ac:dyDescent="0.25">
      <c r="A19" s="10" t="s">
        <v>50</v>
      </c>
      <c r="B19" s="168">
        <f>B18</f>
        <v>0.02</v>
      </c>
      <c r="C19" s="25">
        <v>900</v>
      </c>
      <c r="D19" s="6">
        <f>C19</f>
        <v>900</v>
      </c>
      <c r="E19" s="6">
        <f>D19*(1+$B19+Summary!$B$25)</f>
        <v>936</v>
      </c>
      <c r="F19" s="6">
        <f>E19</f>
        <v>936</v>
      </c>
      <c r="G19" s="6">
        <f>F19*(1+$B19+Summary!$B$25)</f>
        <v>973.44</v>
      </c>
      <c r="H19" s="6">
        <f>G19</f>
        <v>973.44</v>
      </c>
      <c r="I19" s="6">
        <f>H19*(1+$B19+Summary!$B$25)</f>
        <v>1012.3776000000001</v>
      </c>
      <c r="J19" s="6">
        <f>I19</f>
        <v>1012.3776000000001</v>
      </c>
      <c r="K19" s="6">
        <f>J19*(1+$B19+Summary!$B$25)</f>
        <v>1052.8727040000001</v>
      </c>
      <c r="L19" s="6">
        <f>K19</f>
        <v>1052.8727040000001</v>
      </c>
      <c r="M19" s="6">
        <f>L19*(1+$B19+Summary!$B$25)</f>
        <v>1094.9876121600003</v>
      </c>
      <c r="N19" s="6">
        <f>M19</f>
        <v>1094.9876121600003</v>
      </c>
      <c r="O19" s="13"/>
      <c r="P19" s="13"/>
    </row>
    <row r="20" spans="1:16" x14ac:dyDescent="0.25">
      <c r="A20" s="16"/>
      <c r="B20" s="16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13"/>
      <c r="P20" s="13"/>
    </row>
    <row r="21" spans="1:16" x14ac:dyDescent="0.25">
      <c r="A21" s="9" t="s">
        <v>49</v>
      </c>
      <c r="B21" s="24"/>
      <c r="C21" s="155" t="str">
        <f t="shared" ref="C21:N21" si="7">C2</f>
        <v>Fall 21</v>
      </c>
      <c r="D21" s="155" t="str">
        <f t="shared" si="7"/>
        <v>Spring 22</v>
      </c>
      <c r="E21" s="155" t="str">
        <f t="shared" si="7"/>
        <v>Fall 22</v>
      </c>
      <c r="F21" s="155" t="str">
        <f t="shared" si="7"/>
        <v>Spring 23</v>
      </c>
      <c r="G21" s="155" t="str">
        <f t="shared" si="7"/>
        <v>Fall 23</v>
      </c>
      <c r="H21" s="155" t="str">
        <f t="shared" si="7"/>
        <v>Spring 24</v>
      </c>
      <c r="I21" s="155" t="str">
        <f t="shared" si="7"/>
        <v>Fall 24</v>
      </c>
      <c r="J21" s="155" t="str">
        <f t="shared" si="7"/>
        <v>Spring 25</v>
      </c>
      <c r="K21" s="155" t="str">
        <f t="shared" si="7"/>
        <v>Fall 25</v>
      </c>
      <c r="L21" s="155" t="str">
        <f t="shared" si="7"/>
        <v>Spring 26</v>
      </c>
      <c r="M21" s="155" t="str">
        <f t="shared" si="7"/>
        <v>Fall 26</v>
      </c>
      <c r="N21" s="155" t="str">
        <f t="shared" si="7"/>
        <v>Spring 27</v>
      </c>
      <c r="O21" s="13"/>
      <c r="P21" s="13"/>
    </row>
    <row r="22" spans="1:16" x14ac:dyDescent="0.25">
      <c r="A22" s="10" t="s">
        <v>44</v>
      </c>
      <c r="B22" s="16"/>
      <c r="C22" s="6">
        <f t="shared" ref="C22:N22" si="8">C18*(C3+C4)</f>
        <v>14440895.979528176</v>
      </c>
      <c r="D22" s="6">
        <f t="shared" si="8"/>
        <v>12450895.979528178</v>
      </c>
      <c r="E22" s="6">
        <f t="shared" si="8"/>
        <v>13412355.818709305</v>
      </c>
      <c r="F22" s="6">
        <f t="shared" si="8"/>
        <v>11740886.538709303</v>
      </c>
      <c r="G22" s="6">
        <f t="shared" si="8"/>
        <v>12946407.823553678</v>
      </c>
      <c r="H22" s="6">
        <f t="shared" si="8"/>
        <v>11391217.553178634</v>
      </c>
      <c r="I22" s="6">
        <f t="shared" si="8"/>
        <v>11569337.360650625</v>
      </c>
      <c r="J22" s="6">
        <f t="shared" si="8"/>
        <v>10421241.479884204</v>
      </c>
      <c r="K22" s="6">
        <f t="shared" si="8"/>
        <v>11962553.37114438</v>
      </c>
      <c r="L22" s="6">
        <f t="shared" si="8"/>
        <v>10622601.367635259</v>
      </c>
      <c r="M22" s="6">
        <f t="shared" si="8"/>
        <v>12185803.780358978</v>
      </c>
      <c r="N22" s="6">
        <f t="shared" si="8"/>
        <v>10248418.460822906</v>
      </c>
      <c r="O22" s="13"/>
      <c r="P22" s="13"/>
    </row>
    <row r="23" spans="1:16" x14ac:dyDescent="0.25">
      <c r="A23" s="10" t="s">
        <v>45</v>
      </c>
      <c r="B23" s="16"/>
      <c r="C23" s="18">
        <f>C19*(C12+C13)</f>
        <v>6039175.8325872244</v>
      </c>
      <c r="D23" s="18">
        <f t="shared" ref="D23:N23" si="9">D19*(D12+D13)</f>
        <v>5729575.8325872244</v>
      </c>
      <c r="E23" s="18">
        <f t="shared" si="9"/>
        <v>5978265.1058907127</v>
      </c>
      <c r="F23" s="18">
        <f t="shared" si="9"/>
        <v>5607716.5586907137</v>
      </c>
      <c r="G23" s="18">
        <f t="shared" si="9"/>
        <v>5832684.6643381827</v>
      </c>
      <c r="H23" s="18">
        <f t="shared" si="9"/>
        <v>5447505.9489265746</v>
      </c>
      <c r="I23" s="18">
        <f t="shared" si="9"/>
        <v>5684103.047112151</v>
      </c>
      <c r="J23" s="18">
        <f t="shared" si="9"/>
        <v>5242158.2088794066</v>
      </c>
      <c r="K23" s="18">
        <f t="shared" si="9"/>
        <v>5446807.5940727601</v>
      </c>
      <c r="L23" s="18">
        <f t="shared" si="9"/>
        <v>5037110.0002147844</v>
      </c>
      <c r="M23" s="18">
        <f t="shared" si="9"/>
        <v>4460127.6692786142</v>
      </c>
      <c r="N23" s="18">
        <f t="shared" si="9"/>
        <v>3513997.9636895559</v>
      </c>
      <c r="O23" s="13"/>
      <c r="P23" s="13"/>
    </row>
    <row r="24" spans="1:16" x14ac:dyDescent="0.25">
      <c r="A24" s="72"/>
      <c r="B24" s="16"/>
      <c r="C24" s="6">
        <f>SUM(C22:C23)</f>
        <v>20480071.812115401</v>
      </c>
      <c r="D24" s="6">
        <f t="shared" ref="D24:N24" si="10">SUM(D22:D23)</f>
        <v>18180471.812115401</v>
      </c>
      <c r="E24" s="6">
        <f t="shared" si="10"/>
        <v>19390620.924600016</v>
      </c>
      <c r="F24" s="6">
        <f t="shared" si="10"/>
        <v>17348603.097400017</v>
      </c>
      <c r="G24" s="6">
        <f t="shared" si="10"/>
        <v>18779092.48789186</v>
      </c>
      <c r="H24" s="6">
        <f t="shared" si="10"/>
        <v>16838723.50210521</v>
      </c>
      <c r="I24" s="6">
        <f t="shared" si="10"/>
        <v>17253440.407762777</v>
      </c>
      <c r="J24" s="6">
        <f t="shared" si="10"/>
        <v>15663399.688763611</v>
      </c>
      <c r="K24" s="6">
        <f t="shared" si="10"/>
        <v>17409360.96521714</v>
      </c>
      <c r="L24" s="6">
        <f t="shared" si="10"/>
        <v>15659711.367850043</v>
      </c>
      <c r="M24" s="6">
        <f t="shared" si="10"/>
        <v>16645931.449637592</v>
      </c>
      <c r="N24" s="6">
        <f t="shared" si="10"/>
        <v>13762416.424512463</v>
      </c>
      <c r="O24" s="13"/>
      <c r="P24" s="13"/>
    </row>
    <row r="25" spans="1:16" x14ac:dyDescent="0.25">
      <c r="A25" s="72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3"/>
    </row>
    <row r="26" spans="1:16" x14ac:dyDescent="0.25">
      <c r="A26" s="10" t="s">
        <v>134</v>
      </c>
      <c r="B26" s="53"/>
      <c r="C26" s="121">
        <f>Summary!F3</f>
        <v>2022</v>
      </c>
      <c r="D26" s="121">
        <f>Summary!G3</f>
        <v>2023</v>
      </c>
      <c r="E26" s="121">
        <f>Summary!H3</f>
        <v>2024</v>
      </c>
      <c r="F26" s="121">
        <f>Summary!I3</f>
        <v>2025</v>
      </c>
      <c r="G26" s="121">
        <f>Summary!J3</f>
        <v>2026</v>
      </c>
      <c r="H26" s="121">
        <f>Summary!K3</f>
        <v>2027</v>
      </c>
      <c r="I26" s="13"/>
      <c r="J26" s="13"/>
      <c r="K26" s="13"/>
      <c r="L26" s="13"/>
      <c r="M26" s="13"/>
      <c r="N26" s="13"/>
      <c r="O26" s="13"/>
      <c r="P26" s="13"/>
    </row>
    <row r="27" spans="1:16" x14ac:dyDescent="0.25">
      <c r="A27" s="10" t="s">
        <v>243</v>
      </c>
      <c r="B27" s="16"/>
      <c r="C27" s="6">
        <f>C24+D24</f>
        <v>38660543.624230802</v>
      </c>
      <c r="D27" s="6">
        <f>E24+F24</f>
        <v>36739224.02200003</v>
      </c>
      <c r="E27" s="6">
        <f>G24+H24</f>
        <v>35617815.989997074</v>
      </c>
      <c r="F27" s="6">
        <f>I24+J24</f>
        <v>32916840.096526388</v>
      </c>
      <c r="G27" s="6">
        <f>K24+L24</f>
        <v>33069072.333067182</v>
      </c>
      <c r="H27" s="6">
        <f>M24+N24</f>
        <v>30408347.874150053</v>
      </c>
      <c r="I27" s="16"/>
      <c r="J27" s="16"/>
      <c r="K27" s="16"/>
      <c r="L27" s="16"/>
      <c r="M27" s="16"/>
      <c r="N27" s="13"/>
      <c r="O27" s="13"/>
      <c r="P27" s="13"/>
    </row>
    <row r="28" spans="1:16" x14ac:dyDescent="0.25">
      <c r="A28" s="116" t="s">
        <v>242</v>
      </c>
      <c r="B28" s="30"/>
      <c r="C28" s="4">
        <f>C27-ScholTuit!C23</f>
        <v>38610543.624230802</v>
      </c>
      <c r="D28" s="4">
        <f>D27-ScholTuit!D23</f>
        <v>36688224.02200003</v>
      </c>
      <c r="E28" s="4">
        <f>E27-ScholTuit!E23</f>
        <v>35565795.989997074</v>
      </c>
      <c r="F28" s="4">
        <f>F27-ScholTuit!F23</f>
        <v>32863779.69652639</v>
      </c>
      <c r="G28" s="4">
        <f>G27-ScholTuit!G23</f>
        <v>33014950.725067183</v>
      </c>
      <c r="H28" s="4">
        <f>H27-ScholTuit!H23</f>
        <v>30353143.833990052</v>
      </c>
      <c r="I28" s="16"/>
      <c r="J28" s="16"/>
      <c r="K28" s="16"/>
      <c r="L28" s="16"/>
      <c r="M28" s="16"/>
      <c r="N28" s="13"/>
      <c r="O28" s="13"/>
      <c r="P28" s="13"/>
    </row>
    <row r="29" spans="1:16" x14ac:dyDescent="0.25">
      <c r="A29" s="179" t="s">
        <v>273</v>
      </c>
      <c r="B29" s="130" t="s">
        <v>250</v>
      </c>
      <c r="C29" s="208" t="s">
        <v>251</v>
      </c>
      <c r="D29" s="208"/>
      <c r="E29" s="208"/>
      <c r="F29" s="208"/>
      <c r="G29" s="208"/>
      <c r="H29" s="208"/>
      <c r="I29" s="13"/>
      <c r="J29" s="13"/>
      <c r="K29" s="13"/>
      <c r="L29" s="13"/>
      <c r="M29" s="13"/>
      <c r="N29" s="13"/>
      <c r="O29" s="13"/>
      <c r="P29" s="13"/>
    </row>
    <row r="30" spans="1:16" x14ac:dyDescent="0.25">
      <c r="A30" s="179"/>
      <c r="B30" s="10" t="s">
        <v>309</v>
      </c>
      <c r="C30" s="199"/>
      <c r="D30" s="199"/>
      <c r="E30" s="199"/>
      <c r="F30" s="199"/>
      <c r="G30" s="199"/>
      <c r="H30" s="199"/>
      <c r="I30" s="13"/>
      <c r="J30" s="13"/>
      <c r="K30" s="13"/>
      <c r="L30" s="13"/>
      <c r="M30" s="13"/>
      <c r="N30" s="13"/>
      <c r="O30" s="13"/>
      <c r="P30" s="13"/>
    </row>
    <row r="31" spans="1:16" x14ac:dyDescent="0.25">
      <c r="A31" s="11" t="s">
        <v>134</v>
      </c>
      <c r="B31" s="53"/>
      <c r="C31" s="121">
        <f>Summary!F3</f>
        <v>2022</v>
      </c>
      <c r="D31" s="121">
        <f>Summary!G3</f>
        <v>2023</v>
      </c>
      <c r="E31" s="121">
        <f>Summary!H3</f>
        <v>2024</v>
      </c>
      <c r="F31" s="121">
        <f>Summary!I3</f>
        <v>2025</v>
      </c>
      <c r="G31" s="121">
        <f>Summary!J3</f>
        <v>2026</v>
      </c>
      <c r="H31" s="121">
        <f>Summary!K3</f>
        <v>2027</v>
      </c>
      <c r="I31" s="13"/>
      <c r="J31" s="13"/>
      <c r="K31" s="13"/>
      <c r="L31" s="13"/>
      <c r="M31" s="13"/>
      <c r="N31" s="13"/>
      <c r="O31" s="13"/>
      <c r="P31" s="13"/>
    </row>
    <row r="32" spans="1:16" x14ac:dyDescent="0.25">
      <c r="A32" s="10" t="s">
        <v>244</v>
      </c>
      <c r="B32" s="122">
        <v>0</v>
      </c>
      <c r="C32" s="156">
        <v>0</v>
      </c>
      <c r="D32" s="124">
        <f>C32*(1+$B32)</f>
        <v>0</v>
      </c>
      <c r="E32" s="124">
        <f t="shared" ref="E32:H32" si="11">D32*(1+$B32)</f>
        <v>0</v>
      </c>
      <c r="F32" s="124">
        <f t="shared" si="11"/>
        <v>0</v>
      </c>
      <c r="G32" s="124">
        <f t="shared" si="11"/>
        <v>0</v>
      </c>
      <c r="H32" s="124">
        <f t="shared" si="11"/>
        <v>0</v>
      </c>
      <c r="I32" s="13"/>
      <c r="J32" s="13"/>
      <c r="K32" s="13"/>
      <c r="L32" s="13"/>
      <c r="M32" s="13"/>
      <c r="N32" s="13"/>
      <c r="O32" s="13"/>
      <c r="P32" s="13"/>
    </row>
    <row r="33" spans="1:16" x14ac:dyDescent="0.25">
      <c r="A33" s="10" t="s">
        <v>245</v>
      </c>
      <c r="B33" s="122">
        <v>0</v>
      </c>
      <c r="C33" s="156">
        <v>0</v>
      </c>
      <c r="D33" s="124">
        <f t="shared" ref="D33:H33" si="12">C33*(1+$B33)</f>
        <v>0</v>
      </c>
      <c r="E33" s="124">
        <f t="shared" si="12"/>
        <v>0</v>
      </c>
      <c r="F33" s="124">
        <f t="shared" si="12"/>
        <v>0</v>
      </c>
      <c r="G33" s="124">
        <f t="shared" si="12"/>
        <v>0</v>
      </c>
      <c r="H33" s="124">
        <f t="shared" si="12"/>
        <v>0</v>
      </c>
      <c r="I33" s="13"/>
      <c r="J33" s="13"/>
      <c r="K33" s="13"/>
      <c r="L33" s="13"/>
      <c r="M33" s="13"/>
      <c r="N33" s="13"/>
      <c r="O33" s="13"/>
      <c r="P33" s="13"/>
    </row>
    <row r="34" spans="1:16" x14ac:dyDescent="0.25">
      <c r="A34" s="10" t="s">
        <v>246</v>
      </c>
      <c r="B34" s="122">
        <v>0</v>
      </c>
      <c r="C34" s="156">
        <v>0</v>
      </c>
      <c r="D34" s="124">
        <f t="shared" ref="D34:H34" si="13">C34*(1+$B34)</f>
        <v>0</v>
      </c>
      <c r="E34" s="124">
        <f t="shared" si="13"/>
        <v>0</v>
      </c>
      <c r="F34" s="124">
        <f t="shared" si="13"/>
        <v>0</v>
      </c>
      <c r="G34" s="124">
        <f t="shared" si="13"/>
        <v>0</v>
      </c>
      <c r="H34" s="124">
        <f t="shared" si="13"/>
        <v>0</v>
      </c>
      <c r="I34" s="13"/>
      <c r="J34" s="13"/>
      <c r="K34" s="13"/>
      <c r="L34" s="13"/>
      <c r="M34" s="13"/>
      <c r="N34" s="13"/>
      <c r="O34" s="13"/>
      <c r="P34" s="13"/>
    </row>
    <row r="35" spans="1:16" x14ac:dyDescent="0.25">
      <c r="A35" s="9" t="s">
        <v>294</v>
      </c>
      <c r="B35" s="200" t="s">
        <v>309</v>
      </c>
      <c r="C35" s="8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x14ac:dyDescent="0.25">
      <c r="A36" s="10" t="s">
        <v>247</v>
      </c>
      <c r="B36" s="123">
        <f>ScholTuit!B17</f>
        <v>-0.02</v>
      </c>
      <c r="C36" s="156">
        <v>0</v>
      </c>
      <c r="D36" s="124">
        <f t="shared" ref="D36:H36" si="14">C36*(1+$B36)</f>
        <v>0</v>
      </c>
      <c r="E36" s="124">
        <f t="shared" si="14"/>
        <v>0</v>
      </c>
      <c r="F36" s="124">
        <f t="shared" si="14"/>
        <v>0</v>
      </c>
      <c r="G36" s="124">
        <f t="shared" si="14"/>
        <v>0</v>
      </c>
      <c r="H36" s="124">
        <f t="shared" si="14"/>
        <v>0</v>
      </c>
      <c r="I36" s="13"/>
      <c r="J36" s="13"/>
      <c r="K36" s="13"/>
      <c r="L36" s="13"/>
      <c r="M36" s="13"/>
      <c r="N36" s="13"/>
      <c r="O36" s="13"/>
      <c r="P36" s="13"/>
    </row>
    <row r="37" spans="1:16" x14ac:dyDescent="0.25">
      <c r="A37" s="10" t="s">
        <v>248</v>
      </c>
      <c r="B37" s="123">
        <f>ScholTuit!B18</f>
        <v>-0.02</v>
      </c>
      <c r="C37" s="156">
        <v>0</v>
      </c>
      <c r="D37" s="124">
        <f t="shared" ref="D37:H37" si="15">C37*(1+$B37)</f>
        <v>0</v>
      </c>
      <c r="E37" s="124">
        <f t="shared" si="15"/>
        <v>0</v>
      </c>
      <c r="F37" s="124">
        <f t="shared" si="15"/>
        <v>0</v>
      </c>
      <c r="G37" s="124">
        <f t="shared" si="15"/>
        <v>0</v>
      </c>
      <c r="H37" s="124">
        <f t="shared" si="15"/>
        <v>0</v>
      </c>
      <c r="I37" s="13"/>
      <c r="J37" s="13"/>
      <c r="K37" s="13"/>
      <c r="L37" s="13"/>
      <c r="M37" s="13"/>
      <c r="N37" s="13"/>
      <c r="O37" s="13"/>
      <c r="P37" s="13"/>
    </row>
    <row r="38" spans="1:16" x14ac:dyDescent="0.25">
      <c r="A38" s="10" t="s">
        <v>249</v>
      </c>
      <c r="B38" s="123">
        <f>ScholTuit!B19</f>
        <v>0</v>
      </c>
      <c r="C38" s="156">
        <v>0</v>
      </c>
      <c r="D38" s="124">
        <f t="shared" ref="D38:H38" si="16">C38*(1+$B38)</f>
        <v>0</v>
      </c>
      <c r="E38" s="124">
        <f t="shared" si="16"/>
        <v>0</v>
      </c>
      <c r="F38" s="124">
        <f t="shared" si="16"/>
        <v>0</v>
      </c>
      <c r="G38" s="124">
        <f t="shared" si="16"/>
        <v>0</v>
      </c>
      <c r="H38" s="124">
        <f t="shared" si="16"/>
        <v>0</v>
      </c>
      <c r="I38" s="13"/>
      <c r="J38" s="13"/>
      <c r="K38" s="13"/>
      <c r="L38" s="13"/>
      <c r="M38" s="13"/>
      <c r="N38" s="13"/>
      <c r="O38" s="13"/>
      <c r="P38" s="13"/>
    </row>
    <row r="39" spans="1:16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6" x14ac:dyDescent="0.25">
      <c r="A40" s="10" t="s">
        <v>79</v>
      </c>
      <c r="B40" s="14"/>
      <c r="C40" s="178" t="s">
        <v>266</v>
      </c>
      <c r="D40" s="112">
        <f>Summary!B10</f>
        <v>1000000</v>
      </c>
      <c r="E40" s="113">
        <f>-D40</f>
        <v>-1000000</v>
      </c>
      <c r="F40" s="2">
        <v>0</v>
      </c>
      <c r="G40" s="2">
        <v>0</v>
      </c>
      <c r="H40" s="2">
        <v>0</v>
      </c>
      <c r="I40" s="13"/>
      <c r="J40" s="13"/>
      <c r="K40" s="13"/>
      <c r="L40" s="13"/>
      <c r="M40" s="13"/>
      <c r="N40" s="13"/>
      <c r="O40" s="13"/>
      <c r="P40" s="13"/>
    </row>
    <row r="41" spans="1:16" x14ac:dyDescent="0.25">
      <c r="A41" s="8"/>
      <c r="B41" s="10" t="str">
        <f>"Annual Rate above Inflation, "&amp;TEXT(Summary!B25,"0.0%")</f>
        <v>Annual Rate above Inflation, 2.0%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 x14ac:dyDescent="0.25">
      <c r="A42" s="10" t="s">
        <v>252</v>
      </c>
      <c r="B42" s="172">
        <f>Summary!B8</f>
        <v>0</v>
      </c>
      <c r="C42" s="2">
        <v>3000000</v>
      </c>
      <c r="D42" s="6">
        <f>IF(D40&lt;0,0,D40)+(C42+IF(D40&lt;0,D40,0))*(1+$B42+Summary!$B$25)</f>
        <v>4060000</v>
      </c>
      <c r="E42" s="6">
        <f>IF(E40&lt;0,0,E40)+(D42+IF(E40&lt;0,E40,0))*(1+$B42+Summary!$B$25)</f>
        <v>3121200</v>
      </c>
      <c r="F42" s="6">
        <f>IF(F40&lt;0,0,F40)+(E42+IF(F40&lt;0,F40,0))*(1+$B42+Summary!$B$25)</f>
        <v>3183624</v>
      </c>
      <c r="G42" s="6">
        <f>IF(G40&lt;0,0,G40)+(F42+IF(G40&lt;0,G40,0))*(1+$B42+Summary!$B$25)</f>
        <v>3247296.48</v>
      </c>
      <c r="H42" s="6">
        <f>IF(H40&lt;0,0,H40)+(G42+IF(H40&lt;0,H40,0))*(1+$B42+Summary!$B$25)</f>
        <v>3312242.4095999999</v>
      </c>
      <c r="I42" s="13"/>
      <c r="J42" s="13"/>
      <c r="K42" s="13"/>
      <c r="L42" s="13"/>
      <c r="M42" s="13"/>
      <c r="N42" s="13"/>
      <c r="O42" s="13"/>
      <c r="P42" s="13"/>
    </row>
    <row r="43" spans="1:16" x14ac:dyDescent="0.25">
      <c r="A43" s="10"/>
      <c r="B43" s="10" t="s">
        <v>309</v>
      </c>
      <c r="C43" s="16"/>
      <c r="D43" s="16"/>
      <c r="E43" s="16"/>
      <c r="F43" s="16"/>
      <c r="G43" s="16"/>
      <c r="H43" s="16"/>
      <c r="I43" s="13"/>
      <c r="J43" s="13"/>
      <c r="K43" s="13"/>
      <c r="L43" s="13"/>
      <c r="M43" s="13"/>
      <c r="N43" s="13"/>
      <c r="O43" s="13"/>
      <c r="P43" s="13"/>
    </row>
    <row r="44" spans="1:16" x14ac:dyDescent="0.25">
      <c r="A44" s="10" t="s">
        <v>253</v>
      </c>
      <c r="B44" s="26">
        <v>0</v>
      </c>
      <c r="C44" s="2">
        <v>0</v>
      </c>
      <c r="D44" s="4">
        <f>C44*$B44</f>
        <v>0</v>
      </c>
      <c r="E44" s="4">
        <f t="shared" ref="E44:H44" si="17">D44*$B44</f>
        <v>0</v>
      </c>
      <c r="F44" s="4">
        <f t="shared" si="17"/>
        <v>0</v>
      </c>
      <c r="G44" s="4">
        <f t="shared" si="17"/>
        <v>0</v>
      </c>
      <c r="H44" s="4">
        <f t="shared" si="17"/>
        <v>0</v>
      </c>
      <c r="I44" s="13"/>
      <c r="J44" s="13"/>
      <c r="K44" s="13"/>
      <c r="L44" s="13"/>
      <c r="M44" s="13"/>
      <c r="N44" s="13"/>
      <c r="O44" s="13"/>
      <c r="P44" s="13"/>
    </row>
    <row r="45" spans="1:16" x14ac:dyDescent="0.25">
      <c r="A45" s="10" t="s">
        <v>254</v>
      </c>
      <c r="B45" s="26">
        <v>0</v>
      </c>
      <c r="C45" s="2">
        <v>0</v>
      </c>
      <c r="D45" s="4">
        <f>C45*$B45</f>
        <v>0</v>
      </c>
      <c r="E45" s="4">
        <f t="shared" ref="E45:H45" si="18">D45*$B45</f>
        <v>0</v>
      </c>
      <c r="F45" s="4">
        <f t="shared" si="18"/>
        <v>0</v>
      </c>
      <c r="G45" s="4">
        <f t="shared" si="18"/>
        <v>0</v>
      </c>
      <c r="H45" s="4">
        <f t="shared" si="18"/>
        <v>0</v>
      </c>
      <c r="I45" s="13"/>
      <c r="J45" s="13"/>
      <c r="K45" s="13"/>
      <c r="L45" s="13"/>
      <c r="M45" s="13"/>
      <c r="N45" s="13"/>
      <c r="O45" s="13"/>
      <c r="P45" s="13"/>
    </row>
    <row r="46" spans="1:1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x14ac:dyDescent="0.25">
      <c r="A47" s="10" t="s">
        <v>255</v>
      </c>
      <c r="B47" s="13"/>
      <c r="C47" s="6">
        <f>Cash!B25</f>
        <v>2530000</v>
      </c>
      <c r="D47" s="6">
        <f>Cash!C25</f>
        <v>2620000</v>
      </c>
      <c r="E47" s="6">
        <f>Cash!D25</f>
        <v>2765000</v>
      </c>
      <c r="F47" s="6">
        <f>Cash!E25</f>
        <v>2866145.8333333335</v>
      </c>
      <c r="G47" s="6">
        <f>Cash!F25</f>
        <v>2945312.5</v>
      </c>
      <c r="H47" s="6">
        <f>Cash!G25</f>
        <v>3060907.986111111</v>
      </c>
      <c r="I47" s="13"/>
      <c r="J47" s="13"/>
      <c r="K47" s="13"/>
      <c r="L47" s="13"/>
      <c r="M47" s="13"/>
      <c r="N47" s="13"/>
      <c r="O47" s="13"/>
      <c r="P47" s="13"/>
    </row>
    <row r="48" spans="1:16" x14ac:dyDescent="0.25">
      <c r="A48" s="10" t="s">
        <v>256</v>
      </c>
      <c r="B48" s="26">
        <v>0</v>
      </c>
      <c r="C48" s="2">
        <v>0</v>
      </c>
      <c r="D48" s="124">
        <f>C48*(1+$B48+Summary!$B$25)</f>
        <v>0</v>
      </c>
      <c r="E48" s="124">
        <f>D48*(1+$B48+Summary!$B$25)</f>
        <v>0</v>
      </c>
      <c r="F48" s="124">
        <f>E48*(1+$B48+Summary!$B$25)</f>
        <v>0</v>
      </c>
      <c r="G48" s="124">
        <f>F48*(1+$B48+Summary!$B$25)</f>
        <v>0</v>
      </c>
      <c r="H48" s="124">
        <f>G48*(1+$B48+Summary!$B$25)</f>
        <v>0</v>
      </c>
      <c r="I48" s="13"/>
      <c r="J48" s="13"/>
      <c r="K48" s="13"/>
      <c r="L48" s="13"/>
      <c r="M48" s="13"/>
      <c r="N48" s="13"/>
      <c r="O48" s="13"/>
      <c r="P48" s="13"/>
    </row>
    <row r="49" spans="1:16" x14ac:dyDescent="0.25">
      <c r="A49" s="179" t="s">
        <v>312</v>
      </c>
      <c r="B49" s="13"/>
      <c r="C49" s="201">
        <f>Summary!F3</f>
        <v>2022</v>
      </c>
      <c r="D49" s="201">
        <f>Summary!G3</f>
        <v>2023</v>
      </c>
      <c r="E49" s="201">
        <f>Summary!H3</f>
        <v>2024</v>
      </c>
      <c r="F49" s="201">
        <f>Summary!I3</f>
        <v>2025</v>
      </c>
      <c r="G49" s="201">
        <f>Summary!J3</f>
        <v>2026</v>
      </c>
      <c r="H49" s="201">
        <f>Summary!K3</f>
        <v>2027</v>
      </c>
      <c r="I49" s="13"/>
      <c r="J49" s="13"/>
      <c r="K49" s="13"/>
      <c r="L49" s="13"/>
      <c r="M49" s="13"/>
      <c r="N49" s="13"/>
      <c r="O49" s="13"/>
      <c r="P49" s="13"/>
    </row>
    <row r="50" spans="1:16" x14ac:dyDescent="0.25">
      <c r="A50" s="10" t="s">
        <v>261</v>
      </c>
      <c r="B50" s="13"/>
      <c r="C50" s="72" t="s">
        <v>266</v>
      </c>
      <c r="D50" s="3">
        <v>0</v>
      </c>
      <c r="E50" s="3">
        <v>0</v>
      </c>
      <c r="F50" s="3">
        <v>0</v>
      </c>
      <c r="G50" s="3">
        <v>100</v>
      </c>
      <c r="H50" s="3">
        <v>0</v>
      </c>
      <c r="I50" s="13"/>
      <c r="J50" s="13"/>
      <c r="K50" s="13"/>
      <c r="L50" s="13"/>
      <c r="M50" s="13"/>
      <c r="N50" s="13"/>
      <c r="O50" s="13"/>
      <c r="P50" s="13"/>
    </row>
    <row r="51" spans="1:16" x14ac:dyDescent="0.25">
      <c r="A51" s="13"/>
      <c r="B51" s="114" t="s">
        <v>239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1:16" x14ac:dyDescent="0.25">
      <c r="A52" s="10" t="s">
        <v>262</v>
      </c>
      <c r="B52" s="125">
        <v>0</v>
      </c>
      <c r="C52" s="2">
        <v>1000</v>
      </c>
      <c r="D52" s="4">
        <f>C52*(1+$B$52)+D50</f>
        <v>1000</v>
      </c>
      <c r="E52" s="4">
        <f>D52*(1+$B$52)+E50</f>
        <v>1000</v>
      </c>
      <c r="F52" s="4">
        <f>E52*(1+$B$52)+F50</f>
        <v>1000</v>
      </c>
      <c r="G52" s="4">
        <f>F52*(1+$B$52)+G50</f>
        <v>1100</v>
      </c>
      <c r="H52" s="4">
        <f>G52*(1+$B$52)+H50</f>
        <v>1100</v>
      </c>
      <c r="I52" s="13"/>
      <c r="J52" s="13"/>
      <c r="K52" s="13"/>
      <c r="L52" s="13"/>
      <c r="M52" s="13"/>
      <c r="N52" s="13"/>
      <c r="O52" s="13"/>
      <c r="P52" s="13"/>
    </row>
    <row r="53" spans="1:16" x14ac:dyDescent="0.25">
      <c r="A53" s="10" t="s">
        <v>263</v>
      </c>
      <c r="B53" s="13"/>
      <c r="C53" s="26">
        <v>0.95</v>
      </c>
      <c r="D53" s="28">
        <f>C53</f>
        <v>0.95</v>
      </c>
      <c r="E53" s="28">
        <f t="shared" ref="E53:H53" si="19">D53</f>
        <v>0.95</v>
      </c>
      <c r="F53" s="28">
        <f t="shared" si="19"/>
        <v>0.95</v>
      </c>
      <c r="G53" s="28">
        <f t="shared" si="19"/>
        <v>0.95</v>
      </c>
      <c r="H53" s="28">
        <f t="shared" si="19"/>
        <v>0.95</v>
      </c>
      <c r="I53" s="13"/>
      <c r="J53" s="13"/>
      <c r="K53" s="13"/>
      <c r="L53" s="13"/>
      <c r="M53" s="13"/>
      <c r="N53" s="13"/>
      <c r="O53" s="13"/>
      <c r="P53" s="13"/>
    </row>
    <row r="54" spans="1:16" x14ac:dyDescent="0.25">
      <c r="A54" s="13"/>
      <c r="B54" s="114" t="s">
        <v>25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6" x14ac:dyDescent="0.25">
      <c r="A55" s="10" t="s">
        <v>313</v>
      </c>
      <c r="B55" s="125">
        <v>0.02</v>
      </c>
      <c r="C55" s="2">
        <v>2500</v>
      </c>
      <c r="D55" s="5">
        <f>C55*(1+$B$55+Summary!$B$25)</f>
        <v>2600</v>
      </c>
      <c r="E55" s="5">
        <f>D55*(1+$B$55+Summary!$B$25)</f>
        <v>2704</v>
      </c>
      <c r="F55" s="5">
        <f>E55*(1+$B$55+Summary!$B$25)</f>
        <v>2812.1600000000003</v>
      </c>
      <c r="G55" s="5">
        <f>F55*(1+$B$55+Summary!$B$25)</f>
        <v>2924.6464000000005</v>
      </c>
      <c r="H55" s="5">
        <f>G55*(1+$B$55+Summary!$B$25)</f>
        <v>3041.6322560000008</v>
      </c>
      <c r="I55" s="13"/>
      <c r="J55" s="13"/>
      <c r="K55" s="13"/>
      <c r="L55" s="13"/>
      <c r="M55" s="13"/>
      <c r="N55" s="13"/>
      <c r="O55" s="13"/>
      <c r="P55" s="13"/>
    </row>
    <row r="56" spans="1:16" x14ac:dyDescent="0.25">
      <c r="A56" s="10" t="s">
        <v>264</v>
      </c>
      <c r="B56" s="13"/>
      <c r="C56" s="126">
        <f>C52*C53*C55</f>
        <v>2375000</v>
      </c>
      <c r="D56" s="126">
        <f t="shared" ref="D56:H56" si="20">D52*D53*D55</f>
        <v>2470000</v>
      </c>
      <c r="E56" s="126">
        <f t="shared" si="20"/>
        <v>2568800</v>
      </c>
      <c r="F56" s="126">
        <f t="shared" si="20"/>
        <v>2671552.0000000005</v>
      </c>
      <c r="G56" s="126">
        <f t="shared" si="20"/>
        <v>3056255.4880000004</v>
      </c>
      <c r="H56" s="126">
        <f t="shared" si="20"/>
        <v>3178505.7075200006</v>
      </c>
      <c r="I56" s="13"/>
      <c r="J56" s="13"/>
      <c r="K56" s="13"/>
      <c r="L56" s="13"/>
      <c r="M56" s="13"/>
      <c r="N56" s="13"/>
      <c r="O56" s="13"/>
      <c r="P56" s="13"/>
    </row>
    <row r="57" spans="1:16" x14ac:dyDescent="0.25">
      <c r="A57" s="10" t="s">
        <v>267</v>
      </c>
      <c r="B57" s="13"/>
      <c r="C57" s="5">
        <f>ScholTuit!C24</f>
        <v>30000</v>
      </c>
      <c r="D57" s="5">
        <f>ScholTuit!D24</f>
        <v>30600</v>
      </c>
      <c r="E57" s="5">
        <f>ScholTuit!E24</f>
        <v>31212</v>
      </c>
      <c r="F57" s="5">
        <f>ScholTuit!F24</f>
        <v>31836.240000000002</v>
      </c>
      <c r="G57" s="5">
        <f>ScholTuit!G24</f>
        <v>32472.964800000002</v>
      </c>
      <c r="H57" s="5">
        <f>ScholTuit!H24</f>
        <v>33122.424096000002</v>
      </c>
      <c r="I57" s="13"/>
      <c r="J57" s="13"/>
      <c r="K57" s="13"/>
      <c r="L57" s="13"/>
      <c r="M57" s="13"/>
      <c r="N57" s="13"/>
      <c r="O57" s="13"/>
      <c r="P57" s="13"/>
    </row>
    <row r="58" spans="1:16" x14ac:dyDescent="0.25">
      <c r="A58" s="180" t="s">
        <v>257</v>
      </c>
      <c r="B58" s="13"/>
      <c r="C58" s="126">
        <f>C56-C57</f>
        <v>2345000</v>
      </c>
      <c r="D58" s="126">
        <f t="shared" ref="D58:H58" si="21">D56-D57</f>
        <v>2439400</v>
      </c>
      <c r="E58" s="126">
        <f t="shared" si="21"/>
        <v>2537588</v>
      </c>
      <c r="F58" s="126">
        <f t="shared" si="21"/>
        <v>2639715.7600000002</v>
      </c>
      <c r="G58" s="126">
        <f t="shared" si="21"/>
        <v>3023782.5232000002</v>
      </c>
      <c r="H58" s="126">
        <f t="shared" si="21"/>
        <v>3145383.2834240007</v>
      </c>
      <c r="I58" s="13"/>
      <c r="J58" s="13"/>
      <c r="K58" s="13"/>
      <c r="L58" s="13"/>
      <c r="M58" s="13"/>
      <c r="N58" s="13"/>
      <c r="O58" s="13"/>
      <c r="P58" s="13"/>
    </row>
    <row r="59" spans="1:16" x14ac:dyDescent="0.25">
      <c r="A59" s="127"/>
      <c r="B59" s="114" t="s">
        <v>25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1:16" x14ac:dyDescent="0.25">
      <c r="A60" s="11" t="s">
        <v>258</v>
      </c>
      <c r="B60" s="26">
        <v>0</v>
      </c>
      <c r="C60" s="2">
        <v>0</v>
      </c>
      <c r="D60" s="124">
        <f>C60*(1+$B60+Summary!$B$25)</f>
        <v>0</v>
      </c>
      <c r="E60" s="124">
        <f>D60*(1+$B60+Summary!$B$25)</f>
        <v>0</v>
      </c>
      <c r="F60" s="124">
        <f>E60*(1+$B60+Summary!$B$25)</f>
        <v>0</v>
      </c>
      <c r="G60" s="124">
        <f>F60*(1+$B60+Summary!$B$25)</f>
        <v>0</v>
      </c>
      <c r="H60" s="124">
        <f>G60*(1+$B60+Summary!$B$25)</f>
        <v>0</v>
      </c>
      <c r="I60" s="13"/>
      <c r="J60" s="13"/>
      <c r="K60" s="13"/>
      <c r="L60" s="13"/>
      <c r="M60" s="13"/>
      <c r="N60" s="13"/>
      <c r="O60" s="13"/>
      <c r="P60" s="13"/>
    </row>
    <row r="61" spans="1:16" x14ac:dyDescent="0.25">
      <c r="A61" s="11" t="s">
        <v>259</v>
      </c>
      <c r="B61" s="26">
        <v>0</v>
      </c>
      <c r="C61" s="2">
        <v>0</v>
      </c>
      <c r="D61" s="124">
        <f>C61*(1+$B61+Summary!$B$25)</f>
        <v>0</v>
      </c>
      <c r="E61" s="124">
        <f>D61*(1+$B61+Summary!$B$25)</f>
        <v>0</v>
      </c>
      <c r="F61" s="124">
        <f>E61*(1+$B61+Summary!$B$25)</f>
        <v>0</v>
      </c>
      <c r="G61" s="124">
        <f>F61*(1+$B61+Summary!$B$25)</f>
        <v>0</v>
      </c>
      <c r="H61" s="124">
        <f>G61*(1+$B61+Summary!$B$25)</f>
        <v>0</v>
      </c>
      <c r="I61" s="13"/>
      <c r="J61" s="13"/>
      <c r="K61" s="13"/>
      <c r="L61" s="13"/>
      <c r="M61" s="13"/>
      <c r="N61" s="13"/>
      <c r="O61" s="13"/>
      <c r="P61" s="13"/>
    </row>
    <row r="62" spans="1:16" x14ac:dyDescent="0.25">
      <c r="A62" s="10" t="s">
        <v>265</v>
      </c>
      <c r="B62" s="13"/>
      <c r="C62" s="72" t="s">
        <v>266</v>
      </c>
      <c r="D62" s="2">
        <v>50000</v>
      </c>
      <c r="E62" s="2">
        <v>-50000</v>
      </c>
      <c r="F62" s="2">
        <v>0</v>
      </c>
      <c r="G62" s="2">
        <v>0</v>
      </c>
      <c r="H62" s="2">
        <v>0</v>
      </c>
      <c r="I62" s="13"/>
      <c r="J62" s="13"/>
      <c r="K62" s="13"/>
      <c r="L62" s="13"/>
      <c r="M62" s="13"/>
      <c r="N62" s="13"/>
      <c r="O62" s="13"/>
      <c r="P62" s="13"/>
    </row>
    <row r="63" spans="1:16" x14ac:dyDescent="0.25">
      <c r="A63" s="11" t="s">
        <v>260</v>
      </c>
      <c r="B63" s="166">
        <f>Summary!B9</f>
        <v>0</v>
      </c>
      <c r="C63" s="2">
        <v>500000</v>
      </c>
      <c r="D63" s="6">
        <f>IF(D62&lt;0,0,D62)+(C63+IF(D62&lt;0,D62,0))*(1+$B63+Summary!$B$25)</f>
        <v>560000</v>
      </c>
      <c r="E63" s="6">
        <f>IF(E62&lt;0,0,E62)+(D63+IF(E62&lt;0,E62,0))*(1+$B63+Summary!$B$25)</f>
        <v>520200</v>
      </c>
      <c r="F63" s="6">
        <f>IF(F62&lt;0,0,F62)+(E63+IF(F62&lt;0,F62,0))*(1+$B63+Summary!$B$25)</f>
        <v>530604</v>
      </c>
      <c r="G63" s="6">
        <f>IF(G62&lt;0,0,G62)+(F63+IF(G62&lt;0,G62,0))*(1+$B63+Summary!$B$25)</f>
        <v>541216.07999999996</v>
      </c>
      <c r="H63" s="6">
        <f>IF(H62&lt;0,0,H62)+(G63+IF(H62&lt;0,H62,0))*(1+$B63+Summary!$B$25)</f>
        <v>552040.40159999998</v>
      </c>
      <c r="I63" s="13"/>
      <c r="J63" s="13"/>
      <c r="K63" s="13"/>
      <c r="L63" s="13"/>
      <c r="M63" s="13"/>
      <c r="N63" s="13"/>
      <c r="O63" s="13"/>
      <c r="P63" s="13"/>
    </row>
    <row r="64" spans="1:16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</row>
    <row r="65" spans="1:16" x14ac:dyDescent="0.25">
      <c r="A65" s="13"/>
      <c r="B65" s="13"/>
      <c r="C65" s="138" t="str">
        <f>C2</f>
        <v>Fall 21</v>
      </c>
      <c r="D65" s="138" t="str">
        <f t="shared" ref="D65:N65" si="22">D2</f>
        <v>Spring 22</v>
      </c>
      <c r="E65" s="138" t="str">
        <f t="shared" si="22"/>
        <v>Fall 22</v>
      </c>
      <c r="F65" s="138" t="str">
        <f t="shared" si="22"/>
        <v>Spring 23</v>
      </c>
      <c r="G65" s="138" t="str">
        <f t="shared" si="22"/>
        <v>Fall 23</v>
      </c>
      <c r="H65" s="138" t="str">
        <f t="shared" si="22"/>
        <v>Spring 24</v>
      </c>
      <c r="I65" s="138" t="str">
        <f t="shared" si="22"/>
        <v>Fall 24</v>
      </c>
      <c r="J65" s="138" t="str">
        <f t="shared" si="22"/>
        <v>Spring 25</v>
      </c>
      <c r="K65" s="138" t="str">
        <f t="shared" si="22"/>
        <v>Fall 25</v>
      </c>
      <c r="L65" s="138" t="str">
        <f t="shared" si="22"/>
        <v>Spring 26</v>
      </c>
      <c r="M65" s="138" t="str">
        <f t="shared" si="22"/>
        <v>Fall 26</v>
      </c>
      <c r="N65" s="138" t="str">
        <f t="shared" si="22"/>
        <v>Spring 27</v>
      </c>
      <c r="O65" s="13"/>
      <c r="P65" s="13"/>
    </row>
    <row r="66" spans="1:16" x14ac:dyDescent="0.25">
      <c r="A66" s="9" t="s">
        <v>129</v>
      </c>
      <c r="B66" s="13"/>
      <c r="C66" s="84">
        <f>C7/Staffing!B57</f>
        <v>20.410922935587717</v>
      </c>
      <c r="D66" s="84">
        <f>D7/Staffing!B57</f>
        <v>18.75092293558772</v>
      </c>
      <c r="E66" s="84">
        <f>E7/Staffing!C57</f>
        <v>18.238764131213923</v>
      </c>
      <c r="F66" s="84">
        <f>F7/Staffing!C57</f>
        <v>16.79328348605263</v>
      </c>
      <c r="G66" s="84">
        <f>G7/Staffing!D57</f>
        <v>16.475744252113486</v>
      </c>
      <c r="H66" s="84">
        <f>H7/Staffing!D57</f>
        <v>15.179340932425987</v>
      </c>
      <c r="I66" s="84">
        <f>I7/Staffing!E57</f>
        <v>14.387538535522413</v>
      </c>
      <c r="J66" s="84">
        <f>J7/Staffing!E57</f>
        <v>13.319236006585326</v>
      </c>
      <c r="K66" s="84">
        <f>K7/Staffing!F57</f>
        <v>12.978441720197141</v>
      </c>
      <c r="L66" s="84">
        <f>L7/Staffing!F57</f>
        <v>11.959826220189525</v>
      </c>
      <c r="M66" s="84">
        <f>M7/Staffing!G57</f>
        <v>11.216173429065151</v>
      </c>
      <c r="N66" s="84">
        <f>N7/Staffing!G57</f>
        <v>9.2675042785921224</v>
      </c>
      <c r="O66" s="13"/>
      <c r="P66" s="13"/>
    </row>
    <row r="67" spans="1:16" x14ac:dyDescent="0.25">
      <c r="A67" s="9" t="s">
        <v>133</v>
      </c>
      <c r="B67" s="13"/>
      <c r="C67" s="84">
        <f>C15/Staffing!B58</f>
        <v>13.83306038734167</v>
      </c>
      <c r="D67" s="84">
        <f>D15/Staffing!B58</f>
        <v>11.994766736548021</v>
      </c>
      <c r="E67" s="84">
        <f>E15/Staffing!C58</f>
        <v>12.655766417903113</v>
      </c>
      <c r="F67" s="84">
        <f>F15/Staffing!C58</f>
        <v>11.052805891587326</v>
      </c>
      <c r="G67" s="84">
        <f>G15/Staffing!D58</f>
        <v>11.864121650080536</v>
      </c>
      <c r="H67" s="84">
        <f>H15/Staffing!D58</f>
        <v>10.375123777734782</v>
      </c>
      <c r="I67" s="84">
        <f>I15/Staffing!E58</f>
        <v>10.540072976700165</v>
      </c>
      <c r="J67" s="84">
        <f>J15/Staffing!E58</f>
        <v>9.3200910893687947</v>
      </c>
      <c r="K67" s="84">
        <f>K15/Staffing!F58</f>
        <v>9.9977230634444574</v>
      </c>
      <c r="L67" s="84">
        <f>L15/Staffing!F58</f>
        <v>8.7506707007957623</v>
      </c>
      <c r="M67" s="84">
        <f>M15/Staffing!G58</f>
        <v>9.6587153988583463</v>
      </c>
      <c r="N67" s="84">
        <f>N15/Staffing!F58</f>
        <v>7.5270283862312821</v>
      </c>
      <c r="O67" s="13"/>
      <c r="P67" s="13"/>
    </row>
    <row r="68" spans="1:16" x14ac:dyDescent="0.25">
      <c r="A68" s="11" t="s">
        <v>323</v>
      </c>
      <c r="B68" s="138">
        <f>Summary!F3</f>
        <v>2022</v>
      </c>
      <c r="C68" s="138">
        <f>Summary!G3</f>
        <v>2023</v>
      </c>
      <c r="D68" s="138">
        <f>Summary!H3</f>
        <v>2024</v>
      </c>
      <c r="E68" s="138">
        <f>Summary!I3</f>
        <v>2025</v>
      </c>
      <c r="F68" s="138">
        <f>Summary!J3</f>
        <v>2026</v>
      </c>
      <c r="G68" s="138">
        <f>Summary!K3</f>
        <v>2027</v>
      </c>
      <c r="H68" s="13"/>
      <c r="I68" s="13"/>
      <c r="J68" s="13"/>
      <c r="K68" s="13"/>
      <c r="L68" s="13"/>
      <c r="M68" s="13"/>
      <c r="N68" s="13"/>
      <c r="O68" s="13"/>
      <c r="P68" s="13"/>
    </row>
    <row r="69" spans="1:16" x14ac:dyDescent="0.25">
      <c r="A69" s="9" t="s">
        <v>129</v>
      </c>
      <c r="B69" s="84">
        <f>(C7+D7)/(2*Staffing!B57)</f>
        <v>19.580922935587719</v>
      </c>
      <c r="C69" s="84">
        <f>(E7+F7)/(2*Staffing!C57)</f>
        <v>17.516023808633278</v>
      </c>
      <c r="D69" s="84">
        <f>(G7+H7)/(2*Staffing!D57)</f>
        <v>15.827542592269737</v>
      </c>
      <c r="E69" s="84">
        <f>(H7+I7)/(2*Staffing!E57)</f>
        <v>14.553449719846533</v>
      </c>
      <c r="F69" s="84">
        <f>(I7+J7)/(2*Staffing!F57)</f>
        <v>13.13683275703384</v>
      </c>
      <c r="G69" s="84">
        <f>(K7+L7)/(2*Staffing!G57)</f>
        <v>12.397881776077941</v>
      </c>
      <c r="H69" s="13"/>
      <c r="I69" s="13"/>
      <c r="J69" s="13"/>
      <c r="K69" s="13"/>
      <c r="L69" s="13"/>
      <c r="M69" s="13"/>
    </row>
    <row r="70" spans="1:16" x14ac:dyDescent="0.25">
      <c r="A70" s="9" t="s">
        <v>133</v>
      </c>
      <c r="B70" s="84">
        <f>(C15+D15)/(2*Staffing!B58)</f>
        <v>12.913913561944845</v>
      </c>
      <c r="C70" s="84">
        <f>(E15+F15)/(2*Staffing!C58)</f>
        <v>11.854286154745218</v>
      </c>
      <c r="D70" s="84">
        <f>(G15+H15)/(2*Staffing!D58)</f>
        <v>11.119622713907658</v>
      </c>
      <c r="E70" s="84">
        <f>(H15+I15)/(2*Staffing!E58)</f>
        <v>10.482659062670939</v>
      </c>
      <c r="F70" s="84">
        <f>(I15+J15)/(2*Staffing!F58)</f>
        <v>9.6654873707122455</v>
      </c>
      <c r="G70" s="84">
        <f>(K15+L15)/(2*Staffing!G58)</f>
        <v>9.7247766029148455</v>
      </c>
      <c r="H70" s="13"/>
      <c r="I70" s="13"/>
      <c r="J70" s="13"/>
      <c r="K70" s="13"/>
      <c r="L70" s="13"/>
      <c r="M70" s="13"/>
      <c r="N70" s="13"/>
      <c r="O70" s="13"/>
      <c r="P70" s="13"/>
    </row>
    <row r="71" spans="1:16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</row>
    <row r="72" spans="1:16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</row>
    <row r="73" spans="1:16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</row>
    <row r="74" spans="1:16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</row>
    <row r="75" spans="1:16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</row>
    <row r="76" spans="1:16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</row>
    <row r="77" spans="1:16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</row>
    <row r="78" spans="1:16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</row>
    <row r="79" spans="1:16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</row>
  </sheetData>
  <mergeCells count="1">
    <mergeCell ref="C29:H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2345-FFC1-4711-AF03-A837E37AFF11}">
  <dimension ref="A1:P48"/>
  <sheetViews>
    <sheetView zoomScale="90" zoomScaleNormal="90" workbookViewId="0"/>
  </sheetViews>
  <sheetFormatPr defaultRowHeight="15" x14ac:dyDescent="0.25"/>
  <cols>
    <col min="1" max="1" width="55.5703125" style="81" customWidth="1"/>
    <col min="2" max="2" width="10" style="81" customWidth="1"/>
    <col min="3" max="8" width="12.140625" customWidth="1"/>
    <col min="9" max="14" width="10.7109375" customWidth="1"/>
  </cols>
  <sheetData>
    <row r="1" spans="1:16" ht="15.75" x14ac:dyDescent="0.25">
      <c r="A1" s="86" t="str">
        <f>Summary!A1</f>
        <v>Frozen Pond College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x14ac:dyDescent="0.25">
      <c r="A2" s="9"/>
      <c r="B2" s="11" t="s">
        <v>54</v>
      </c>
      <c r="C2" s="138" t="str">
        <f>Enrollment!C2</f>
        <v>Fall 21</v>
      </c>
      <c r="D2" s="138" t="str">
        <f>Enrollment!D2</f>
        <v>Spring 22</v>
      </c>
      <c r="E2" s="138" t="str">
        <f>Enrollment!E2</f>
        <v>Fall 22</v>
      </c>
      <c r="F2" s="138" t="str">
        <f>Enrollment!F2</f>
        <v>Spring 23</v>
      </c>
      <c r="G2" s="138" t="str">
        <f>Enrollment!G2</f>
        <v>Fall 23</v>
      </c>
      <c r="H2" s="138" t="str">
        <f>Enrollment!H2</f>
        <v>Spring 24</v>
      </c>
      <c r="I2" s="138" t="str">
        <f>Enrollment!I2</f>
        <v>Fall 24</v>
      </c>
      <c r="J2" s="138" t="str">
        <f>Enrollment!J2</f>
        <v>Spring 25</v>
      </c>
      <c r="K2" s="138" t="str">
        <f>Enrollment!K2</f>
        <v>Fall 25</v>
      </c>
      <c r="L2" s="138" t="str">
        <f>Enrollment!L2</f>
        <v>Spring 26</v>
      </c>
      <c r="M2" s="138" t="str">
        <f>Enrollment!M2</f>
        <v>Fall 26</v>
      </c>
      <c r="N2" s="138" t="str">
        <f>Enrollment!N2</f>
        <v>Spring 27</v>
      </c>
      <c r="O2" s="13"/>
      <c r="P2" s="13"/>
    </row>
    <row r="3" spans="1:16" x14ac:dyDescent="0.25">
      <c r="A3" s="10" t="s">
        <v>55</v>
      </c>
      <c r="B3" s="131">
        <f>Summary!B5</f>
        <v>0.05</v>
      </c>
      <c r="C3" s="140">
        <v>0.6</v>
      </c>
      <c r="D3" s="27">
        <f>C3</f>
        <v>0.6</v>
      </c>
      <c r="E3" s="27">
        <f>D3*(1+$B3)</f>
        <v>0.63</v>
      </c>
      <c r="F3" s="27">
        <f>E3</f>
        <v>0.63</v>
      </c>
      <c r="G3" s="27">
        <f>F3*(1+$B3)</f>
        <v>0.66150000000000009</v>
      </c>
      <c r="H3" s="27">
        <f>G3</f>
        <v>0.66150000000000009</v>
      </c>
      <c r="I3" s="27">
        <f>H3*(1+$B3)</f>
        <v>0.69457500000000016</v>
      </c>
      <c r="J3" s="27">
        <f>I3</f>
        <v>0.69457500000000016</v>
      </c>
      <c r="K3" s="27">
        <f>J3*(1+$B3)</f>
        <v>0.72930375000000025</v>
      </c>
      <c r="L3" s="27">
        <f>K3</f>
        <v>0.72930375000000025</v>
      </c>
      <c r="M3" s="27">
        <f>L3*(1+$B3)</f>
        <v>0.7657689375000003</v>
      </c>
      <c r="N3" s="27">
        <f>M3</f>
        <v>0.7657689375000003</v>
      </c>
      <c r="O3" s="13"/>
      <c r="P3" s="13"/>
    </row>
    <row r="4" spans="1:16" x14ac:dyDescent="0.25">
      <c r="A4" s="10" t="s">
        <v>56</v>
      </c>
      <c r="B4" s="28">
        <f>B3</f>
        <v>0.05</v>
      </c>
      <c r="C4" s="26">
        <v>0.3</v>
      </c>
      <c r="D4" s="27">
        <f>C4</f>
        <v>0.3</v>
      </c>
      <c r="E4" s="27">
        <f>D4*(1+$B4)</f>
        <v>0.315</v>
      </c>
      <c r="F4" s="27">
        <f>E4</f>
        <v>0.315</v>
      </c>
      <c r="G4" s="27">
        <f>F4*(1+$B4)</f>
        <v>0.33075000000000004</v>
      </c>
      <c r="H4" s="27">
        <f>G4</f>
        <v>0.33075000000000004</v>
      </c>
      <c r="I4" s="27">
        <f>H4*(1+$B4)</f>
        <v>0.34728750000000008</v>
      </c>
      <c r="J4" s="27">
        <f>I4</f>
        <v>0.34728750000000008</v>
      </c>
      <c r="K4" s="27">
        <f>J4*(1+$B4)</f>
        <v>0.36465187500000013</v>
      </c>
      <c r="L4" s="27">
        <f>K4</f>
        <v>0.36465187500000013</v>
      </c>
      <c r="M4" s="27">
        <f>L4*(1+$B4)</f>
        <v>0.38288446875000015</v>
      </c>
      <c r="N4" s="27">
        <f>M4</f>
        <v>0.38288446875000015</v>
      </c>
      <c r="O4" s="13"/>
      <c r="P4" s="13"/>
    </row>
    <row r="5" spans="1:16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x14ac:dyDescent="0.25">
      <c r="A6" s="9"/>
      <c r="B6" s="19" t="s">
        <v>54</v>
      </c>
      <c r="C6" s="8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x14ac:dyDescent="0.25">
      <c r="A7" s="10" t="s">
        <v>55</v>
      </c>
      <c r="B7" s="172">
        <f>Summary!B7</f>
        <v>0.03</v>
      </c>
      <c r="C7" s="166">
        <f>Summary!B6</f>
        <v>0.5</v>
      </c>
      <c r="D7" s="28">
        <f>C7</f>
        <v>0.5</v>
      </c>
      <c r="E7" s="27">
        <f>D7*(1+$B7)</f>
        <v>0.51500000000000001</v>
      </c>
      <c r="F7" s="28">
        <f>E7</f>
        <v>0.51500000000000001</v>
      </c>
      <c r="G7" s="27">
        <f>F7*(1+$B7)</f>
        <v>0.53044999999999998</v>
      </c>
      <c r="H7" s="28">
        <f>G7</f>
        <v>0.53044999999999998</v>
      </c>
      <c r="I7" s="27">
        <f>H7*(1+$B7)</f>
        <v>0.5463635</v>
      </c>
      <c r="J7" s="28">
        <f>I7</f>
        <v>0.5463635</v>
      </c>
      <c r="K7" s="27">
        <f>J7*(1+$B7)</f>
        <v>0.56275440500000007</v>
      </c>
      <c r="L7" s="28">
        <f>K7</f>
        <v>0.56275440500000007</v>
      </c>
      <c r="M7" s="27">
        <f>L7*(1+$B7)</f>
        <v>0.57963703715000003</v>
      </c>
      <c r="N7" s="28">
        <f>M7</f>
        <v>0.57963703715000003</v>
      </c>
      <c r="O7" s="13"/>
      <c r="P7" s="13"/>
    </row>
    <row r="8" spans="1:16" x14ac:dyDescent="0.25">
      <c r="A8" s="10" t="s">
        <v>56</v>
      </c>
      <c r="B8" s="168">
        <f>B7</f>
        <v>0.03</v>
      </c>
      <c r="C8" s="173">
        <v>0.3</v>
      </c>
      <c r="D8" s="28">
        <f>C8</f>
        <v>0.3</v>
      </c>
      <c r="E8" s="27">
        <f>D8*(1+$B8)</f>
        <v>0.309</v>
      </c>
      <c r="F8" s="28">
        <f>E8</f>
        <v>0.309</v>
      </c>
      <c r="G8" s="27">
        <f>F8*(1+$B8)</f>
        <v>0.31827</v>
      </c>
      <c r="H8" s="28">
        <f>G8</f>
        <v>0.31827</v>
      </c>
      <c r="I8" s="27">
        <f>H8*(1+$B8)</f>
        <v>0.3278181</v>
      </c>
      <c r="J8" s="28">
        <f>I8</f>
        <v>0.3278181</v>
      </c>
      <c r="K8" s="27">
        <f>J8*(1+$B8)</f>
        <v>0.33765264300000003</v>
      </c>
      <c r="L8" s="28">
        <f>K8</f>
        <v>0.33765264300000003</v>
      </c>
      <c r="M8" s="27">
        <f>L8*(1+$B8)</f>
        <v>0.34778222229000005</v>
      </c>
      <c r="N8" s="28">
        <f>M8</f>
        <v>0.34778222229000005</v>
      </c>
      <c r="O8" s="13"/>
      <c r="P8" s="13"/>
    </row>
    <row r="9" spans="1:16" x14ac:dyDescent="0.25">
      <c r="A9" s="22"/>
      <c r="B9" s="2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x14ac:dyDescent="0.25">
      <c r="A10" s="179" t="s">
        <v>58</v>
      </c>
      <c r="B10" s="23"/>
      <c r="C10" s="138" t="str">
        <f>Enrollment!C2</f>
        <v>Fall 21</v>
      </c>
      <c r="D10" s="138" t="str">
        <f>Enrollment!D2</f>
        <v>Spring 22</v>
      </c>
      <c r="E10" s="138" t="str">
        <f>Enrollment!E2</f>
        <v>Fall 22</v>
      </c>
      <c r="F10" s="138" t="str">
        <f>Enrollment!F2</f>
        <v>Spring 23</v>
      </c>
      <c r="G10" s="138" t="str">
        <f>Enrollment!G2</f>
        <v>Fall 23</v>
      </c>
      <c r="H10" s="138" t="str">
        <f>Enrollment!H2</f>
        <v>Spring 24</v>
      </c>
      <c r="I10" s="138" t="str">
        <f>Enrollment!I2</f>
        <v>Fall 24</v>
      </c>
      <c r="J10" s="138" t="str">
        <f>Enrollment!J2</f>
        <v>Spring 25</v>
      </c>
      <c r="K10" s="138" t="str">
        <f>Enrollment!K2</f>
        <v>Fall 25</v>
      </c>
      <c r="L10" s="138" t="str">
        <f>Enrollment!L2</f>
        <v>Spring 26</v>
      </c>
      <c r="M10" s="138" t="str">
        <f>Enrollment!M2</f>
        <v>Fall 26</v>
      </c>
      <c r="N10" s="138" t="str">
        <f>Enrollment!N2</f>
        <v>Spring 27</v>
      </c>
      <c r="O10" s="13"/>
      <c r="P10" s="13"/>
    </row>
    <row r="11" spans="1:16" x14ac:dyDescent="0.25">
      <c r="A11" s="10" t="s">
        <v>55</v>
      </c>
      <c r="B11" s="23"/>
      <c r="C11" s="21">
        <f>C7*(Enrollment!C3+Enrollment!C4)*(C3*Enrollment!C18)</f>
        <v>4332268.7938584527</v>
      </c>
      <c r="D11" s="21">
        <f>D7*(Enrollment!D3+Enrollment!D4)*(D3*Enrollment!D18)</f>
        <v>3735268.7938584532</v>
      </c>
      <c r="E11" s="21">
        <f>E7*(Enrollment!E3+Enrollment!E4)*(E3*Enrollment!E18)</f>
        <v>4351638.8453802336</v>
      </c>
      <c r="F11" s="21">
        <f>F7*(Enrollment!F3+Enrollment!F4)*(F3*Enrollment!F18)</f>
        <v>3809330.6374842338</v>
      </c>
      <c r="G11" s="21">
        <f>G7*(Enrollment!G3+Enrollment!G4)*(G3*Enrollment!G18)</f>
        <v>4542799.672847678</v>
      </c>
      <c r="H11" s="21">
        <f>H7*(Enrollment!H3+Enrollment!H4)*(H3*Enrollment!H18)</f>
        <v>3997094.7987418063</v>
      </c>
      <c r="I11" s="21">
        <f>I7*(Enrollment!I3+Enrollment!I4)*(I3*Enrollment!I18)</f>
        <v>4390452.7868143134</v>
      </c>
      <c r="J11" s="21">
        <f>J7*(Enrollment!J3+Enrollment!J4)*(J3*Enrollment!J18)</f>
        <v>3954761.389622876</v>
      </c>
      <c r="K11" s="21">
        <f>K7*(Enrollment!K3+Enrollment!K4)*(K3*Enrollment!K18)</f>
        <v>4909657.9706014013</v>
      </c>
      <c r="L11" s="21">
        <f>L7*(Enrollment!L3+Enrollment!L4)*(L3*Enrollment!L18)</f>
        <v>4359716.3460882949</v>
      </c>
      <c r="M11" s="21">
        <f>M7*(Enrollment!M3+Enrollment!M4)*(M3*Enrollment!M18)</f>
        <v>5408888.816342717</v>
      </c>
      <c r="N11" s="21">
        <f>N7*(Enrollment!N3+Enrollment!N4)*(N3*Enrollment!N18)</f>
        <v>4548945.3955668649</v>
      </c>
      <c r="O11" s="13"/>
      <c r="P11" s="13"/>
    </row>
    <row r="12" spans="1:16" x14ac:dyDescent="0.25">
      <c r="A12" s="10" t="s">
        <v>56</v>
      </c>
      <c r="B12" s="22"/>
      <c r="C12" s="5">
        <f>C8*C4*Enrollment!C19*((Enrollment!C5*Enrollment!$B$12)+(Enrollment!C6*Enrollment!$B$13))</f>
        <v>543525.8249328502</v>
      </c>
      <c r="D12" s="5">
        <f>D8*D4*Enrollment!D19*((Enrollment!D5*Enrollment!$B$12)+(Enrollment!D6*Enrollment!$B$13))</f>
        <v>515661.8249328502</v>
      </c>
      <c r="E12" s="5">
        <f>E8*E4*Enrollment!E19*((Enrollment!E5*Enrollment!$B$12)+(Enrollment!E6*Enrollment!$B$13))</f>
        <v>581894.43408187258</v>
      </c>
      <c r="F12" s="5">
        <f>F8*F4*Enrollment!F19*((Enrollment!F5*Enrollment!$B$12)+(Enrollment!F6*Enrollment!$B$13))</f>
        <v>545827.09124016063</v>
      </c>
      <c r="G12" s="5">
        <f>G8*G4*Enrollment!G19*((Enrollment!G5*Enrollment!$B$12)+(Enrollment!G6*Enrollment!$B$13))</f>
        <v>613993.89729033061</v>
      </c>
      <c r="H12" s="5">
        <f>H8*H4*Enrollment!H19*((Enrollment!H5*Enrollment!$B$12)+(Enrollment!H6*Enrollment!$B$13))</f>
        <v>573446.98034917784</v>
      </c>
      <c r="I12" s="5">
        <f>I8*I4*Enrollment!I19*((Enrollment!I5*Enrollment!$B$12)+(Enrollment!I6*Enrollment!$B$13))</f>
        <v>647118.8094647238</v>
      </c>
      <c r="J12" s="5">
        <f>J8*J4*Enrollment!J19*((Enrollment!J5*Enrollment!$B$12)+(Enrollment!J6*Enrollment!$B$13))</f>
        <v>596804.65871906606</v>
      </c>
      <c r="K12" s="5">
        <f>K8*K4*Enrollment!K19*((Enrollment!K5*Enrollment!$B$12)+(Enrollment!K6*Enrollment!$B$13))</f>
        <v>670641.8309424856</v>
      </c>
      <c r="L12" s="5">
        <f>L8*L4*Enrollment!L19*((Enrollment!L5*Enrollment!$B$12)+(Enrollment!L6*Enrollment!$B$13))</f>
        <v>620197.54045999469</v>
      </c>
      <c r="M12" s="5">
        <f>M8*M4*Enrollment!M19*((Enrollment!M5*Enrollment!$B$12)+(Enrollment!M6*Enrollment!$B$13))</f>
        <v>593912.43543668336</v>
      </c>
      <c r="N12" s="5">
        <f>N8*N4*Enrollment!N19*((Enrollment!N5*Enrollment!$B$12)+(Enrollment!N6*Enrollment!$B$13))</f>
        <v>467925.41458167834</v>
      </c>
      <c r="O12" s="13"/>
      <c r="P12" s="13"/>
    </row>
    <row r="13" spans="1:16" x14ac:dyDescent="0.25">
      <c r="A13" s="10" t="s">
        <v>46</v>
      </c>
      <c r="B13" s="22"/>
      <c r="C13" s="29">
        <f t="shared" ref="C13:N13" si="0">SUM(C11:C12)</f>
        <v>4875794.6187913027</v>
      </c>
      <c r="D13" s="29">
        <f t="shared" si="0"/>
        <v>4250930.6187913036</v>
      </c>
      <c r="E13" s="29">
        <f t="shared" si="0"/>
        <v>4933533.2794621065</v>
      </c>
      <c r="F13" s="29">
        <f t="shared" si="0"/>
        <v>4355157.728724394</v>
      </c>
      <c r="G13" s="29">
        <f t="shared" si="0"/>
        <v>5156793.5701380083</v>
      </c>
      <c r="H13" s="29">
        <f t="shared" si="0"/>
        <v>4570541.7790909838</v>
      </c>
      <c r="I13" s="29">
        <f t="shared" si="0"/>
        <v>5037571.5962790372</v>
      </c>
      <c r="J13" s="29">
        <f t="shared" si="0"/>
        <v>4551566.048341942</v>
      </c>
      <c r="K13" s="29">
        <f t="shared" si="0"/>
        <v>5580299.8015438868</v>
      </c>
      <c r="L13" s="29">
        <f t="shared" si="0"/>
        <v>4979913.88654829</v>
      </c>
      <c r="M13" s="29">
        <f t="shared" si="0"/>
        <v>6002801.2517794007</v>
      </c>
      <c r="N13" s="29">
        <f t="shared" si="0"/>
        <v>5016870.8101485427</v>
      </c>
      <c r="O13" s="13"/>
      <c r="P13" s="13"/>
    </row>
    <row r="14" spans="1:16" x14ac:dyDescent="0.25">
      <c r="A14" s="10" t="s">
        <v>21</v>
      </c>
      <c r="B14" s="119">
        <f>Summary!B25</f>
        <v>0.02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x14ac:dyDescent="0.25">
      <c r="A15" s="10" t="s">
        <v>240</v>
      </c>
      <c r="B15" s="91" t="s">
        <v>239</v>
      </c>
      <c r="C15" s="139">
        <f>Summary!F3</f>
        <v>2022</v>
      </c>
      <c r="D15" s="139">
        <f>Summary!G3</f>
        <v>2023</v>
      </c>
      <c r="E15" s="139">
        <f>Summary!H3</f>
        <v>2024</v>
      </c>
      <c r="F15" s="139">
        <f>Summary!I3</f>
        <v>2025</v>
      </c>
      <c r="G15" s="139">
        <f>Summary!J3</f>
        <v>2026</v>
      </c>
      <c r="H15" s="139">
        <f>Summary!K3</f>
        <v>2027</v>
      </c>
      <c r="I15" s="13"/>
      <c r="J15" s="13"/>
      <c r="K15" s="13"/>
      <c r="L15" s="13"/>
      <c r="M15" s="13"/>
      <c r="N15" s="13"/>
      <c r="O15" s="13"/>
      <c r="P15" s="13"/>
    </row>
    <row r="16" spans="1:16" x14ac:dyDescent="0.25">
      <c r="A16" s="10" t="s">
        <v>230</v>
      </c>
      <c r="B16" s="118">
        <v>-0.02</v>
      </c>
      <c r="C16" s="136">
        <v>5000000</v>
      </c>
      <c r="D16" s="4">
        <f>C16*(1+$B16)</f>
        <v>4900000</v>
      </c>
      <c r="E16" s="4">
        <f t="shared" ref="E16:H16" si="1">D16*(1+$B16)</f>
        <v>4802000</v>
      </c>
      <c r="F16" s="4">
        <f t="shared" si="1"/>
        <v>4705960</v>
      </c>
      <c r="G16" s="4">
        <f t="shared" si="1"/>
        <v>4611840.8</v>
      </c>
      <c r="H16" s="4">
        <f t="shared" si="1"/>
        <v>4519603.9840000002</v>
      </c>
      <c r="I16" s="13"/>
      <c r="J16" s="13"/>
      <c r="K16" s="13"/>
      <c r="L16" s="13"/>
      <c r="M16" s="13"/>
      <c r="N16" s="13"/>
      <c r="O16" s="13"/>
      <c r="P16" s="13"/>
    </row>
    <row r="17" spans="1:16" x14ac:dyDescent="0.25">
      <c r="A17" s="10" t="s">
        <v>231</v>
      </c>
      <c r="B17" s="118">
        <v>-0.02</v>
      </c>
      <c r="C17" s="2">
        <v>500000</v>
      </c>
      <c r="D17" s="4">
        <f t="shared" ref="D17:H20" si="2">C17*(1+$B17)</f>
        <v>490000</v>
      </c>
      <c r="E17" s="4">
        <f t="shared" si="2"/>
        <v>480200</v>
      </c>
      <c r="F17" s="4">
        <f t="shared" si="2"/>
        <v>470596</v>
      </c>
      <c r="G17" s="4">
        <f t="shared" si="2"/>
        <v>461184.08</v>
      </c>
      <c r="H17" s="4">
        <f t="shared" si="2"/>
        <v>451960.39840000001</v>
      </c>
      <c r="I17" s="13"/>
      <c r="J17" s="13"/>
      <c r="K17" s="13"/>
      <c r="L17" s="13"/>
      <c r="M17" s="13"/>
      <c r="N17" s="13"/>
      <c r="O17" s="13"/>
      <c r="P17" s="13"/>
    </row>
    <row r="18" spans="1:16" x14ac:dyDescent="0.25">
      <c r="A18" s="10" t="s">
        <v>232</v>
      </c>
      <c r="B18" s="118">
        <v>-0.02</v>
      </c>
      <c r="C18" s="2">
        <v>2000000</v>
      </c>
      <c r="D18" s="4">
        <f t="shared" si="2"/>
        <v>1960000</v>
      </c>
      <c r="E18" s="4">
        <f t="shared" si="2"/>
        <v>1920800</v>
      </c>
      <c r="F18" s="4">
        <f t="shared" si="2"/>
        <v>1882384</v>
      </c>
      <c r="G18" s="4">
        <f t="shared" si="2"/>
        <v>1844736.32</v>
      </c>
      <c r="H18" s="4">
        <f t="shared" si="2"/>
        <v>1807841.5936</v>
      </c>
      <c r="I18" s="13"/>
      <c r="J18" s="13"/>
      <c r="K18" s="13"/>
      <c r="L18" s="13"/>
      <c r="M18" s="13"/>
      <c r="N18" s="13"/>
      <c r="O18" s="13"/>
      <c r="P18" s="13"/>
    </row>
    <row r="19" spans="1:16" x14ac:dyDescent="0.25">
      <c r="A19" s="10" t="s">
        <v>233</v>
      </c>
      <c r="B19" s="118">
        <v>0</v>
      </c>
      <c r="C19" s="2">
        <v>0</v>
      </c>
      <c r="D19" s="4">
        <f t="shared" si="2"/>
        <v>0</v>
      </c>
      <c r="E19" s="4">
        <f t="shared" si="2"/>
        <v>0</v>
      </c>
      <c r="F19" s="4">
        <f t="shared" si="2"/>
        <v>0</v>
      </c>
      <c r="G19" s="4">
        <f t="shared" si="2"/>
        <v>0</v>
      </c>
      <c r="H19" s="4">
        <f t="shared" si="2"/>
        <v>0</v>
      </c>
      <c r="I19" s="13"/>
      <c r="J19" s="13"/>
      <c r="K19" s="13"/>
      <c r="L19" s="13"/>
      <c r="M19" s="13"/>
      <c r="N19" s="13"/>
      <c r="O19" s="13"/>
      <c r="P19" s="13"/>
    </row>
    <row r="20" spans="1:16" x14ac:dyDescent="0.25">
      <c r="A20" s="10" t="s">
        <v>234</v>
      </c>
      <c r="B20" s="118">
        <v>0.02</v>
      </c>
      <c r="C20" s="2">
        <v>400000</v>
      </c>
      <c r="D20" s="4">
        <f t="shared" si="2"/>
        <v>408000</v>
      </c>
      <c r="E20" s="4">
        <f t="shared" si="2"/>
        <v>416160</v>
      </c>
      <c r="F20" s="4">
        <f t="shared" si="2"/>
        <v>424483.2</v>
      </c>
      <c r="G20" s="4">
        <f t="shared" si="2"/>
        <v>432972.864</v>
      </c>
      <c r="H20" s="4">
        <f t="shared" si="2"/>
        <v>441632.32128000003</v>
      </c>
      <c r="I20" s="13"/>
      <c r="J20" s="13"/>
      <c r="K20" s="13"/>
      <c r="L20" s="13"/>
      <c r="M20" s="13"/>
      <c r="N20" s="13"/>
      <c r="O20" s="13"/>
      <c r="P20" s="13"/>
    </row>
    <row r="21" spans="1:16" x14ac:dyDescent="0.25">
      <c r="A21" s="10" t="s">
        <v>235</v>
      </c>
      <c r="B21" s="22"/>
      <c r="C21" s="5">
        <f>C13+D13</f>
        <v>9126725.2375826053</v>
      </c>
      <c r="D21" s="5">
        <f>E13+F13</f>
        <v>9288691.0081865005</v>
      </c>
      <c r="E21" s="5">
        <f>G13+H13</f>
        <v>9727335.3492289931</v>
      </c>
      <c r="F21" s="5">
        <f>I13+J13</f>
        <v>9589137.6446209792</v>
      </c>
      <c r="G21" s="5">
        <f>K13+L13</f>
        <v>10560213.688092176</v>
      </c>
      <c r="H21" s="5">
        <f>M13+N13</f>
        <v>11019672.061927944</v>
      </c>
      <c r="I21" s="13"/>
      <c r="J21" s="13"/>
      <c r="K21" s="13"/>
      <c r="L21" s="13"/>
      <c r="M21" s="13"/>
      <c r="N21" s="13"/>
      <c r="O21" s="13"/>
      <c r="P21" s="13"/>
    </row>
    <row r="22" spans="1:16" x14ac:dyDescent="0.25">
      <c r="A22" s="10" t="s">
        <v>236</v>
      </c>
      <c r="B22" s="22"/>
      <c r="C22" s="4">
        <f t="shared" ref="C22:H22" si="3">SUM(C16:C21)</f>
        <v>17026725.237582605</v>
      </c>
      <c r="D22" s="4">
        <f t="shared" si="3"/>
        <v>17046691.008186501</v>
      </c>
      <c r="E22" s="4">
        <f t="shared" si="3"/>
        <v>17346495.349228993</v>
      </c>
      <c r="F22" s="4">
        <f t="shared" si="3"/>
        <v>17072560.84462098</v>
      </c>
      <c r="G22" s="4">
        <f t="shared" si="3"/>
        <v>17910947.752092175</v>
      </c>
      <c r="H22" s="4">
        <f t="shared" si="3"/>
        <v>18240710.359207943</v>
      </c>
      <c r="I22" s="13"/>
      <c r="J22" s="13"/>
      <c r="K22" s="13"/>
      <c r="L22" s="13"/>
      <c r="M22" s="13"/>
      <c r="N22" s="13"/>
      <c r="O22" s="13"/>
      <c r="P22" s="13"/>
    </row>
    <row r="23" spans="1:16" x14ac:dyDescent="0.25">
      <c r="A23" s="10" t="s">
        <v>237</v>
      </c>
      <c r="B23" s="118">
        <v>0.02</v>
      </c>
      <c r="C23" s="2">
        <v>50000</v>
      </c>
      <c r="D23" s="4">
        <f t="shared" ref="D23:H23" si="4">C23*(1+$B23)</f>
        <v>51000</v>
      </c>
      <c r="E23" s="4">
        <f t="shared" si="4"/>
        <v>52020</v>
      </c>
      <c r="F23" s="4">
        <f t="shared" si="4"/>
        <v>53060.4</v>
      </c>
      <c r="G23" s="4">
        <f t="shared" si="4"/>
        <v>54121.608</v>
      </c>
      <c r="H23" s="4">
        <f t="shared" si="4"/>
        <v>55204.040160000004</v>
      </c>
      <c r="I23" s="13"/>
      <c r="J23" s="13"/>
      <c r="K23" s="13"/>
      <c r="L23" s="13"/>
      <c r="M23" s="13"/>
      <c r="N23" s="13"/>
      <c r="O23" s="13"/>
      <c r="P23" s="13"/>
    </row>
    <row r="24" spans="1:16" x14ac:dyDescent="0.25">
      <c r="A24" s="10" t="s">
        <v>268</v>
      </c>
      <c r="B24" s="118">
        <v>0.02</v>
      </c>
      <c r="C24" s="2">
        <v>30000</v>
      </c>
      <c r="D24" s="120">
        <f t="shared" ref="D24:H24" si="5">C24*(1+$B24)</f>
        <v>30600</v>
      </c>
      <c r="E24" s="5">
        <f t="shared" si="5"/>
        <v>31212</v>
      </c>
      <c r="F24" s="5">
        <f t="shared" si="5"/>
        <v>31836.240000000002</v>
      </c>
      <c r="G24" s="5">
        <f t="shared" si="5"/>
        <v>32472.964800000002</v>
      </c>
      <c r="H24" s="5">
        <f t="shared" si="5"/>
        <v>33122.424096000002</v>
      </c>
      <c r="I24" s="13"/>
      <c r="J24" s="13"/>
      <c r="K24" s="13"/>
      <c r="L24" s="13"/>
      <c r="M24" s="13"/>
      <c r="N24" s="13"/>
      <c r="O24" s="13"/>
      <c r="P24" s="13"/>
    </row>
    <row r="25" spans="1:16" x14ac:dyDescent="0.25">
      <c r="A25" s="10" t="s">
        <v>238</v>
      </c>
      <c r="B25" s="22"/>
      <c r="C25" s="4">
        <f>C23+C24</f>
        <v>80000</v>
      </c>
      <c r="D25" s="4">
        <f t="shared" ref="D25:H25" si="6">D23+D24</f>
        <v>81600</v>
      </c>
      <c r="E25" s="4">
        <f t="shared" si="6"/>
        <v>83232</v>
      </c>
      <c r="F25" s="4">
        <f t="shared" si="6"/>
        <v>84896.639999999999</v>
      </c>
      <c r="G25" s="4">
        <f t="shared" si="6"/>
        <v>86594.572799999994</v>
      </c>
      <c r="H25" s="4">
        <f t="shared" si="6"/>
        <v>88326.464256000007</v>
      </c>
      <c r="I25" s="13"/>
      <c r="J25" s="13"/>
      <c r="K25" s="13"/>
      <c r="L25" s="13"/>
      <c r="M25" s="13"/>
      <c r="N25" s="13"/>
      <c r="O25" s="13"/>
      <c r="P25" s="13"/>
    </row>
    <row r="26" spans="1:16" s="13" customFormat="1" x14ac:dyDescent="0.25">
      <c r="A26" s="72"/>
      <c r="B26" s="72"/>
      <c r="C26" s="52"/>
    </row>
    <row r="27" spans="1:16" x14ac:dyDescent="0.25">
      <c r="A27" s="10" t="s">
        <v>314</v>
      </c>
      <c r="B27" s="22"/>
      <c r="C27" s="4">
        <f>C21+C23+C24</f>
        <v>9206725.2375826053</v>
      </c>
      <c r="D27" s="4">
        <f t="shared" ref="D27:H27" si="7">D21+D23+D24</f>
        <v>9370291.0081865005</v>
      </c>
      <c r="E27" s="4">
        <f t="shared" si="7"/>
        <v>9810567.3492289931</v>
      </c>
      <c r="F27" s="4">
        <f t="shared" si="7"/>
        <v>9674034.2846209798</v>
      </c>
      <c r="G27" s="4">
        <f t="shared" si="7"/>
        <v>10646808.260892175</v>
      </c>
      <c r="H27" s="4">
        <f t="shared" si="7"/>
        <v>11107998.526183944</v>
      </c>
      <c r="I27" s="13"/>
      <c r="J27" s="13"/>
      <c r="K27" s="13"/>
      <c r="L27" s="13"/>
      <c r="M27" s="13"/>
      <c r="N27" s="13"/>
      <c r="O27" s="13"/>
      <c r="P27" s="13"/>
    </row>
    <row r="28" spans="1:16" x14ac:dyDescent="0.25">
      <c r="A28" s="72"/>
      <c r="B28" s="7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6" x14ac:dyDescent="0.25">
      <c r="A29" s="179" t="s">
        <v>269</v>
      </c>
      <c r="B29" s="137" t="s">
        <v>290</v>
      </c>
      <c r="C29" s="138">
        <f>Summary!F3</f>
        <v>2022</v>
      </c>
      <c r="D29" s="138">
        <f>Summary!G3</f>
        <v>2023</v>
      </c>
      <c r="E29" s="138">
        <f>Summary!H3</f>
        <v>2024</v>
      </c>
      <c r="F29" s="138">
        <f>Summary!I3</f>
        <v>2025</v>
      </c>
      <c r="G29" s="138">
        <f>Summary!J3</f>
        <v>2026</v>
      </c>
      <c r="H29" s="138">
        <f>Summary!K3</f>
        <v>2027</v>
      </c>
      <c r="I29" s="13"/>
      <c r="J29" s="13"/>
      <c r="K29" s="13"/>
      <c r="L29" s="13"/>
      <c r="M29" s="13"/>
      <c r="N29" s="13"/>
      <c r="O29" s="13"/>
      <c r="P29" s="13"/>
    </row>
    <row r="30" spans="1:16" x14ac:dyDescent="0.25">
      <c r="A30" s="10" t="s">
        <v>270</v>
      </c>
      <c r="B30" s="72"/>
      <c r="C30" s="15">
        <f>C27/Enrollment!C27</f>
        <v>0.23814267401589814</v>
      </c>
      <c r="D30" s="15">
        <f>D27/Enrollment!D27</f>
        <v>0.2550486913543798</v>
      </c>
      <c r="E30" s="15">
        <f>E27/Enrollment!E27</f>
        <v>0.27543989086765447</v>
      </c>
      <c r="F30" s="15">
        <f>F27/Enrollment!F27</f>
        <v>0.29389316399303622</v>
      </c>
      <c r="G30" s="15">
        <f>G27/Enrollment!G27</f>
        <v>0.32195666554111274</v>
      </c>
      <c r="H30" s="15">
        <f>H27/Enrollment!H27</f>
        <v>0.36529437811472765</v>
      </c>
      <c r="I30" s="13"/>
      <c r="J30" s="13"/>
      <c r="K30" s="13"/>
      <c r="L30" s="13"/>
      <c r="M30" s="13"/>
      <c r="N30" s="13"/>
      <c r="O30" s="13"/>
      <c r="P30" s="13"/>
    </row>
    <row r="31" spans="1:16" x14ac:dyDescent="0.25">
      <c r="A31" s="10" t="s">
        <v>316</v>
      </c>
      <c r="B31" s="72"/>
      <c r="C31" s="4">
        <f>Enrollment!C27/C34</f>
        <v>1933.0271812115402</v>
      </c>
      <c r="D31" s="4">
        <f>Enrollment!D27/D34</f>
        <v>1766.3088472115398</v>
      </c>
      <c r="E31" s="4">
        <f>Enrollment!E27/E34</f>
        <v>1646.5336533837406</v>
      </c>
      <c r="F31" s="4">
        <f>Enrollment!F27/F34</f>
        <v>1463.147549238236</v>
      </c>
      <c r="G31" s="4">
        <f>Enrollment!G27/G34</f>
        <v>1413.3790811885488</v>
      </c>
      <c r="H31" s="4">
        <f>Enrollment!H27/H34</f>
        <v>1249.6722694766015</v>
      </c>
      <c r="I31" s="13"/>
      <c r="J31" s="13"/>
      <c r="K31" s="13"/>
      <c r="L31" s="13"/>
      <c r="M31" s="13"/>
      <c r="N31" s="13"/>
      <c r="O31" s="13"/>
      <c r="P31" s="13"/>
    </row>
    <row r="32" spans="1:16" x14ac:dyDescent="0.25">
      <c r="A32" s="10" t="s">
        <v>315</v>
      </c>
      <c r="B32" s="72"/>
      <c r="C32" s="4">
        <f>(Enrollment!C15+Enrollment!D15)/2</f>
        <v>1627.1531088050506</v>
      </c>
      <c r="D32" s="4">
        <f>(Enrollment!D15+Enrollment!E15)/2</f>
        <v>1549.1868588050506</v>
      </c>
      <c r="E32" s="4">
        <f>(Enrollment!E15+Enrollment!F15)/2</f>
        <v>1486.5274838050505</v>
      </c>
      <c r="F32" s="4">
        <f>(Enrollment!F15+Enrollment!G15)/2</f>
        <v>1433.3321203675507</v>
      </c>
      <c r="G32" s="4">
        <f>(Enrollment!G15+Enrollment!H15)/2</f>
        <v>1387.7289146956757</v>
      </c>
      <c r="H32" s="4">
        <f>(Enrollment!H15+Enrollment!I15)/2</f>
        <v>1301.9462555837306</v>
      </c>
      <c r="I32" s="13"/>
      <c r="J32" s="13"/>
      <c r="K32" s="13"/>
      <c r="L32" s="13"/>
      <c r="M32" s="13"/>
      <c r="N32" s="13"/>
      <c r="O32" s="13"/>
      <c r="P32" s="13"/>
    </row>
    <row r="33" spans="1:16" x14ac:dyDescent="0.25">
      <c r="A33" s="10" t="s">
        <v>271</v>
      </c>
      <c r="B33" s="72"/>
      <c r="C33" s="4">
        <f>(Enrollment!C27-(C22+C23))/C31</f>
        <v>11165.812150204927</v>
      </c>
      <c r="D33" s="4">
        <f>(Enrollment!D27-(D22+D23))/D31</f>
        <v>11120.101133401153</v>
      </c>
      <c r="E33" s="4">
        <f>(Enrollment!E27-(E22+E23))/E31</f>
        <v>11065.246436552425</v>
      </c>
      <c r="F33" s="4">
        <f>(Enrollment!F27-(F22+F23))/F31</f>
        <v>10792.635958093802</v>
      </c>
      <c r="G33" s="4">
        <f>(Enrollment!G27-(G22+G23))/G31</f>
        <v>10686.448649200074</v>
      </c>
      <c r="H33" s="4">
        <f>(Enrollment!H27-(H22+H23))/H31</f>
        <v>9692.4879991576854</v>
      </c>
      <c r="I33" s="13"/>
      <c r="J33" s="13"/>
      <c r="K33" s="13"/>
      <c r="L33" s="13"/>
      <c r="M33" s="13"/>
      <c r="N33" s="13"/>
      <c r="O33" s="13"/>
      <c r="P33" s="13"/>
    </row>
    <row r="34" spans="1:16" x14ac:dyDescent="0.25">
      <c r="A34" s="10" t="s">
        <v>317</v>
      </c>
      <c r="B34" s="72"/>
      <c r="C34" s="4">
        <f>Enrollment!C18+Enrollment!D18</f>
        <v>20000</v>
      </c>
      <c r="D34" s="4">
        <f>Enrollment!E18+Enrollment!F18</f>
        <v>20800</v>
      </c>
      <c r="E34" s="4">
        <f>Enrollment!G18+Enrollment!H18</f>
        <v>21632</v>
      </c>
      <c r="F34" s="4">
        <f>Enrollment!I18+Enrollment!J18</f>
        <v>22497.280000000002</v>
      </c>
      <c r="G34" s="4">
        <f>Enrollment!K18+Enrollment!L18</f>
        <v>23397.171200000004</v>
      </c>
      <c r="H34" s="4">
        <f>Enrollment!M18+Enrollment!N18</f>
        <v>24333.058048000006</v>
      </c>
      <c r="I34" s="13"/>
      <c r="J34" s="13"/>
      <c r="K34" s="13"/>
      <c r="L34" s="13"/>
      <c r="M34" s="13"/>
      <c r="N34" s="13"/>
      <c r="O34" s="13"/>
      <c r="P34" s="13"/>
    </row>
    <row r="35" spans="1:16" x14ac:dyDescent="0.25">
      <c r="A35" s="10" t="s">
        <v>272</v>
      </c>
      <c r="B35" s="72"/>
      <c r="C35" s="27">
        <f>1-C33/C34</f>
        <v>0.44170939248975361</v>
      </c>
      <c r="D35" s="27">
        <f t="shared" ref="D35:H35" si="8">1-D33/D34</f>
        <v>0.46537975320186764</v>
      </c>
      <c r="E35" s="27">
        <f t="shared" si="8"/>
        <v>0.48847788292564609</v>
      </c>
      <c r="F35" s="27">
        <f t="shared" si="8"/>
        <v>0.52026929663969157</v>
      </c>
      <c r="G35" s="27">
        <f t="shared" si="8"/>
        <v>0.54325894537199126</v>
      </c>
      <c r="H35" s="27">
        <f t="shared" si="8"/>
        <v>0.60167406907762944</v>
      </c>
      <c r="I35" s="13"/>
      <c r="J35" s="13"/>
      <c r="K35" s="13"/>
      <c r="L35" s="13"/>
      <c r="M35" s="13"/>
      <c r="N35" s="13"/>
      <c r="O35" s="13"/>
      <c r="P35" s="13"/>
    </row>
    <row r="36" spans="1:16" x14ac:dyDescent="0.25">
      <c r="A36" s="72"/>
      <c r="B36" s="72"/>
      <c r="C36" s="52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 x14ac:dyDescent="0.25">
      <c r="A37" s="72"/>
      <c r="B37" s="72"/>
      <c r="C37" s="5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 x14ac:dyDescent="0.25">
      <c r="A38" s="72"/>
      <c r="B38" s="7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16" x14ac:dyDescent="0.25">
      <c r="A39" s="72"/>
      <c r="B39" s="7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6" x14ac:dyDescent="0.25">
      <c r="A40" s="72"/>
      <c r="B40" s="7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6" x14ac:dyDescent="0.25">
      <c r="A41" s="72"/>
      <c r="B41" s="7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 x14ac:dyDescent="0.25">
      <c r="A42" s="72"/>
      <c r="B42" s="72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x14ac:dyDescent="0.25">
      <c r="A43" s="72"/>
      <c r="B43" s="7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16" x14ac:dyDescent="0.25">
      <c r="A44" s="72"/>
      <c r="B44" s="72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6" x14ac:dyDescent="0.25">
      <c r="A45" s="72"/>
      <c r="B45" s="72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6" x14ac:dyDescent="0.25">
      <c r="A46" s="72"/>
      <c r="B46" s="7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x14ac:dyDescent="0.25">
      <c r="A47" s="72"/>
      <c r="B47" s="7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x14ac:dyDescent="0.25">
      <c r="A48" s="72"/>
      <c r="B48" s="72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1E16A-3741-4C7F-9462-82F8460DA1BB}">
  <dimension ref="A1:X196"/>
  <sheetViews>
    <sheetView workbookViewId="0">
      <selection activeCell="C19" sqref="C19"/>
    </sheetView>
  </sheetViews>
  <sheetFormatPr defaultRowHeight="15" x14ac:dyDescent="0.25"/>
  <cols>
    <col min="1" max="1" width="24.5703125" style="81" customWidth="1"/>
    <col min="2" max="5" width="12.42578125" customWidth="1"/>
    <col min="6" max="7" width="10.7109375" customWidth="1"/>
    <col min="8" max="9" width="12.42578125" customWidth="1"/>
    <col min="11" max="15" width="12.7109375" customWidth="1"/>
  </cols>
  <sheetData>
    <row r="1" spans="1:24" ht="15.75" x14ac:dyDescent="0.25">
      <c r="A1" s="86" t="str">
        <f>Summary!A1</f>
        <v>Frozen Pond College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x14ac:dyDescent="0.25">
      <c r="A2" s="11" t="s">
        <v>39</v>
      </c>
      <c r="B2" s="52"/>
      <c r="C2" s="5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ht="30" x14ac:dyDescent="0.25">
      <c r="A3" s="11" t="s">
        <v>99</v>
      </c>
      <c r="B3" s="20" t="s">
        <v>88</v>
      </c>
      <c r="C3" s="20" t="s">
        <v>89</v>
      </c>
      <c r="D3" s="20" t="s">
        <v>90</v>
      </c>
      <c r="E3" s="20" t="s">
        <v>91</v>
      </c>
      <c r="F3" s="20" t="s">
        <v>167</v>
      </c>
      <c r="G3" s="20" t="s">
        <v>168</v>
      </c>
      <c r="H3" s="20" t="s">
        <v>86</v>
      </c>
      <c r="I3" s="20" t="s">
        <v>87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 x14ac:dyDescent="0.25">
      <c r="A4" s="10">
        <v>0</v>
      </c>
      <c r="B4" s="26">
        <v>0.2</v>
      </c>
      <c r="C4" s="26">
        <v>0.1</v>
      </c>
      <c r="D4" s="26">
        <v>0.1</v>
      </c>
      <c r="E4" s="26">
        <v>0.15</v>
      </c>
      <c r="F4" s="26">
        <v>0</v>
      </c>
      <c r="G4" s="26">
        <v>0</v>
      </c>
      <c r="H4" s="26">
        <v>0</v>
      </c>
      <c r="I4" s="26">
        <v>0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4" x14ac:dyDescent="0.25">
      <c r="A5" s="10">
        <f>A4+1</f>
        <v>1</v>
      </c>
      <c r="B5" s="26">
        <v>0.21</v>
      </c>
      <c r="C5" s="26">
        <v>0.1</v>
      </c>
      <c r="D5" s="26">
        <v>0.1</v>
      </c>
      <c r="E5" s="26">
        <v>0.15</v>
      </c>
      <c r="F5" s="26">
        <v>0.01</v>
      </c>
      <c r="G5" s="26">
        <v>0.02</v>
      </c>
      <c r="H5" s="26">
        <v>0</v>
      </c>
      <c r="I5" s="26">
        <v>0</v>
      </c>
      <c r="J5" s="13"/>
      <c r="K5" s="16"/>
      <c r="L5" s="16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4" x14ac:dyDescent="0.25">
      <c r="A6" s="10">
        <f t="shared" ref="A6:A14" si="0">A5+1</f>
        <v>2</v>
      </c>
      <c r="B6" s="26">
        <v>0.22</v>
      </c>
      <c r="C6" s="26">
        <v>0.1</v>
      </c>
      <c r="D6" s="26">
        <v>0.1</v>
      </c>
      <c r="E6" s="26">
        <v>0.15</v>
      </c>
      <c r="F6" s="26">
        <v>0.02</v>
      </c>
      <c r="G6" s="26">
        <v>0.03</v>
      </c>
      <c r="H6" s="26">
        <v>0</v>
      </c>
      <c r="I6" s="26">
        <v>0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4" x14ac:dyDescent="0.25">
      <c r="A7" s="10">
        <f t="shared" si="0"/>
        <v>3</v>
      </c>
      <c r="B7" s="26">
        <v>0.23</v>
      </c>
      <c r="C7" s="26">
        <v>0.1</v>
      </c>
      <c r="D7" s="26">
        <v>0.1</v>
      </c>
      <c r="E7" s="26">
        <v>0.15</v>
      </c>
      <c r="F7" s="26">
        <v>0.03</v>
      </c>
      <c r="G7" s="26">
        <v>0.04</v>
      </c>
      <c r="H7" s="26">
        <v>0</v>
      </c>
      <c r="I7" s="26">
        <v>0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 x14ac:dyDescent="0.25">
      <c r="A8" s="10">
        <f t="shared" si="0"/>
        <v>4</v>
      </c>
      <c r="B8" s="26">
        <v>0.24</v>
      </c>
      <c r="C8" s="26">
        <v>0.1</v>
      </c>
      <c r="D8" s="26">
        <v>0.1</v>
      </c>
      <c r="E8" s="26">
        <v>0.15</v>
      </c>
      <c r="F8" s="26">
        <v>0.03</v>
      </c>
      <c r="G8" s="26">
        <v>0.05</v>
      </c>
      <c r="H8" s="26">
        <v>0</v>
      </c>
      <c r="I8" s="26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x14ac:dyDescent="0.25">
      <c r="A9" s="10">
        <f t="shared" si="0"/>
        <v>5</v>
      </c>
      <c r="B9" s="26">
        <v>0.25</v>
      </c>
      <c r="C9" s="26">
        <v>0.1</v>
      </c>
      <c r="D9" s="26">
        <v>0.1</v>
      </c>
      <c r="E9" s="26">
        <v>0.15</v>
      </c>
      <c r="F9" s="26">
        <v>0.03</v>
      </c>
      <c r="G9" s="26">
        <v>0.05</v>
      </c>
      <c r="H9" s="26">
        <v>0</v>
      </c>
      <c r="I9" s="26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x14ac:dyDescent="0.25">
      <c r="A10" s="10">
        <f t="shared" si="0"/>
        <v>6</v>
      </c>
      <c r="B10" s="26">
        <v>0.26</v>
      </c>
      <c r="C10" s="26">
        <v>0.1</v>
      </c>
      <c r="D10" s="26">
        <v>0.1</v>
      </c>
      <c r="E10" s="26">
        <v>0.15</v>
      </c>
      <c r="F10" s="26">
        <v>0.03</v>
      </c>
      <c r="G10" s="26">
        <v>0.05</v>
      </c>
      <c r="H10" s="26">
        <v>0.01</v>
      </c>
      <c r="I10" s="26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x14ac:dyDescent="0.25">
      <c r="A11" s="10">
        <f t="shared" si="0"/>
        <v>7</v>
      </c>
      <c r="B11" s="26">
        <v>0.27</v>
      </c>
      <c r="C11" s="26">
        <v>0.1</v>
      </c>
      <c r="D11" s="26">
        <v>0.1</v>
      </c>
      <c r="E11" s="26">
        <v>0.15</v>
      </c>
      <c r="F11" s="26">
        <v>0.03</v>
      </c>
      <c r="G11" s="26">
        <v>0.05</v>
      </c>
      <c r="H11" s="26">
        <v>0.02</v>
      </c>
      <c r="I11" s="26">
        <v>0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x14ac:dyDescent="0.25">
      <c r="A12" s="10">
        <f t="shared" si="0"/>
        <v>8</v>
      </c>
      <c r="B12" s="26">
        <v>0.28000000000000003</v>
      </c>
      <c r="C12" s="26">
        <v>0.1</v>
      </c>
      <c r="D12" s="26">
        <v>0.1</v>
      </c>
      <c r="E12" s="26">
        <v>0.15</v>
      </c>
      <c r="F12" s="26">
        <v>0.03</v>
      </c>
      <c r="G12" s="26">
        <v>0.05</v>
      </c>
      <c r="H12" s="26">
        <v>0.15</v>
      </c>
      <c r="I12" s="26">
        <v>0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x14ac:dyDescent="0.25">
      <c r="A13" s="10">
        <f t="shared" si="0"/>
        <v>9</v>
      </c>
      <c r="B13" s="26">
        <v>0.28999999999999998</v>
      </c>
      <c r="C13" s="26">
        <v>0.1</v>
      </c>
      <c r="D13" s="26">
        <v>0.1</v>
      </c>
      <c r="E13" s="26">
        <v>0.15</v>
      </c>
      <c r="F13" s="26">
        <v>0.03</v>
      </c>
      <c r="G13" s="26">
        <v>0.05</v>
      </c>
      <c r="H13" s="26">
        <v>0.15</v>
      </c>
      <c r="I13" s="26">
        <v>0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x14ac:dyDescent="0.25">
      <c r="A14" s="10">
        <f t="shared" si="0"/>
        <v>10</v>
      </c>
      <c r="B14" s="26">
        <v>0.3</v>
      </c>
      <c r="C14" s="26">
        <v>0.1</v>
      </c>
      <c r="D14" s="26">
        <v>0.1</v>
      </c>
      <c r="E14" s="26">
        <v>0.15</v>
      </c>
      <c r="F14" s="26">
        <v>0.03</v>
      </c>
      <c r="G14" s="26">
        <v>0.05</v>
      </c>
      <c r="H14" s="26">
        <v>0.15</v>
      </c>
      <c r="I14" s="26">
        <v>0.03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x14ac:dyDescent="0.25">
      <c r="A15" s="10">
        <f>A14+1</f>
        <v>11</v>
      </c>
      <c r="B15" s="26">
        <v>0.31</v>
      </c>
      <c r="C15" s="26">
        <v>0.1</v>
      </c>
      <c r="D15" s="26">
        <v>0.1</v>
      </c>
      <c r="E15" s="26">
        <v>0.15</v>
      </c>
      <c r="F15" s="26">
        <v>0.03</v>
      </c>
      <c r="G15" s="26">
        <v>0.05</v>
      </c>
      <c r="H15" s="26">
        <v>0.15</v>
      </c>
      <c r="I15" s="26">
        <v>0.04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x14ac:dyDescent="0.25">
      <c r="A16" s="7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9" t="s">
        <v>126</v>
      </c>
      <c r="M16" s="8"/>
      <c r="N16" s="9" t="str">
        <f>"Coninuing Since  "&amp;$A$18</f>
        <v>Coninuing Since  New Fall 21</v>
      </c>
      <c r="O16" s="8"/>
      <c r="P16" s="8"/>
      <c r="Q16" s="11" t="s">
        <v>127</v>
      </c>
      <c r="R16" s="13"/>
      <c r="S16" s="13"/>
      <c r="T16" s="13"/>
      <c r="U16" s="13"/>
      <c r="V16" s="13"/>
      <c r="W16" s="13"/>
      <c r="X16" s="13"/>
    </row>
    <row r="17" spans="1:24" x14ac:dyDescent="0.25">
      <c r="A17" s="11" t="s">
        <v>97</v>
      </c>
      <c r="B17" s="12" t="s">
        <v>82</v>
      </c>
      <c r="C17" s="12" t="s">
        <v>83</v>
      </c>
      <c r="D17" s="12" t="s">
        <v>93</v>
      </c>
      <c r="E17" s="12" t="s">
        <v>92</v>
      </c>
      <c r="F17" s="12" t="s">
        <v>84</v>
      </c>
      <c r="G17" s="12" t="s">
        <v>94</v>
      </c>
      <c r="H17" s="12" t="s">
        <v>95</v>
      </c>
      <c r="I17" s="12" t="s">
        <v>81</v>
      </c>
      <c r="J17" s="12" t="s">
        <v>85</v>
      </c>
      <c r="K17" s="12" t="s">
        <v>96</v>
      </c>
      <c r="L17" s="12" t="s">
        <v>100</v>
      </c>
      <c r="M17" s="12" t="s">
        <v>101</v>
      </c>
      <c r="N17" s="12" t="s">
        <v>100</v>
      </c>
      <c r="O17" s="12" t="s">
        <v>101</v>
      </c>
      <c r="P17" s="12" t="s">
        <v>100</v>
      </c>
      <c r="Q17" s="12" t="s">
        <v>101</v>
      </c>
      <c r="R17" s="13"/>
      <c r="S17" s="13"/>
      <c r="T17" s="13"/>
      <c r="U17" s="13"/>
      <c r="V17" s="13"/>
      <c r="W17" s="13"/>
      <c r="X17" s="13"/>
    </row>
    <row r="18" spans="1:24" x14ac:dyDescent="0.25">
      <c r="A18" s="11" t="str">
        <f>"New "&amp;Enrollment!C2</f>
        <v>New Fall 21</v>
      </c>
      <c r="B18" s="80">
        <f>Enrollment!C3</f>
        <v>320</v>
      </c>
      <c r="C18" s="80">
        <f>Enrollment!C5</f>
        <v>80</v>
      </c>
      <c r="D18" s="4">
        <f>D4*B18</f>
        <v>32</v>
      </c>
      <c r="E18" s="4">
        <f>E4*C18</f>
        <v>12</v>
      </c>
      <c r="F18" s="4">
        <f>D18+E18</f>
        <v>44</v>
      </c>
      <c r="G18" s="4">
        <v>0</v>
      </c>
      <c r="H18" s="4">
        <v>0</v>
      </c>
      <c r="I18" s="4">
        <f>H4*B18+I4*C18</f>
        <v>0</v>
      </c>
      <c r="J18" s="4">
        <f>I18</f>
        <v>0</v>
      </c>
      <c r="K18" s="27">
        <f>J18/(B18+C18)</f>
        <v>0</v>
      </c>
      <c r="L18" s="4">
        <f>L176</f>
        <v>1124.0895979528175</v>
      </c>
      <c r="M18" s="6">
        <f>M176</f>
        <v>1537.5488423853401</v>
      </c>
      <c r="N18" s="6">
        <v>0</v>
      </c>
      <c r="O18" s="6">
        <v>0</v>
      </c>
      <c r="P18" s="6">
        <f>L18+N18</f>
        <v>1124.0895979528175</v>
      </c>
      <c r="Q18" s="6">
        <f>M18+O18</f>
        <v>1537.5488423853401</v>
      </c>
      <c r="R18" s="13"/>
      <c r="S18" s="13"/>
      <c r="T18" s="13"/>
      <c r="U18" s="13"/>
      <c r="V18" s="13"/>
      <c r="W18" s="13"/>
      <c r="X18" s="13"/>
    </row>
    <row r="19" spans="1:24" x14ac:dyDescent="0.25">
      <c r="A19" s="11" t="str">
        <f>Enrollment!D2</f>
        <v>Spring 22</v>
      </c>
      <c r="B19" s="4">
        <f>IF(B18-D18+G18-(B18*(B4+H4))+(C18*(C4))&lt;0,0,B18-D18+G18-(B18*(B4+H4))+(C18*(C4)))</f>
        <v>232</v>
      </c>
      <c r="C19" s="4">
        <f t="shared" ref="C19:C29" si="1">IF(C18-E18+H18-(C18*(C4+I4))+(B18*(B4))&lt;0,0,C18-E18+H18-(C18*(C4+I4))+(B18*(B4)))</f>
        <v>124</v>
      </c>
      <c r="D19" s="4">
        <f>D5*B19</f>
        <v>23.200000000000003</v>
      </c>
      <c r="E19" s="4">
        <f>E5*C19</f>
        <v>18.599999999999998</v>
      </c>
      <c r="F19" s="4">
        <f>F18+D19+E19</f>
        <v>85.8</v>
      </c>
      <c r="G19" s="4">
        <f>F5*F18</f>
        <v>0.44</v>
      </c>
      <c r="H19" s="4">
        <f>G5*F18</f>
        <v>0.88</v>
      </c>
      <c r="I19" s="4">
        <f>H5*B19+I5*C19</f>
        <v>0</v>
      </c>
      <c r="J19" s="4">
        <f>J18+I19</f>
        <v>0</v>
      </c>
      <c r="K19" s="27">
        <f t="shared" ref="K19:K29" si="2">J19/(B19+C19)</f>
        <v>0</v>
      </c>
      <c r="L19" s="88"/>
      <c r="M19" s="13"/>
      <c r="N19" s="13"/>
      <c r="O19" s="16"/>
      <c r="P19" s="13"/>
      <c r="Q19" s="13"/>
      <c r="R19" s="13"/>
      <c r="S19" s="13"/>
      <c r="T19" s="13"/>
      <c r="U19" s="13"/>
      <c r="V19" s="13"/>
      <c r="W19" s="13"/>
      <c r="X19" s="13"/>
    </row>
    <row r="20" spans="1:24" x14ac:dyDescent="0.25">
      <c r="A20" s="11" t="str">
        <f>Enrollment!E2</f>
        <v>Fall 22</v>
      </c>
      <c r="B20" s="4">
        <f t="shared" ref="B20:B29" si="3">IF(B19-D19+G19-(B19*(B5+H5))+(C19*(C5))&lt;0,0,B19-D19+G19-(B19*(B5+H5))+(C19*(C5)))</f>
        <v>172.92000000000002</v>
      </c>
      <c r="C20" s="4">
        <f t="shared" si="1"/>
        <v>142.6</v>
      </c>
      <c r="D20" s="4">
        <f t="shared" ref="D20:E20" si="4">D6*B20</f>
        <v>17.292000000000002</v>
      </c>
      <c r="E20" s="4">
        <f t="shared" si="4"/>
        <v>21.389999999999997</v>
      </c>
      <c r="F20" s="4">
        <f t="shared" ref="F20:F29" si="5">F19+D20+E20</f>
        <v>124.482</v>
      </c>
      <c r="G20" s="4">
        <f t="shared" ref="G20:G29" si="6">F6*F19</f>
        <v>1.716</v>
      </c>
      <c r="H20" s="4">
        <f t="shared" ref="H20:H29" si="7">G6*F19</f>
        <v>2.5739999999999998</v>
      </c>
      <c r="I20" s="4">
        <f t="shared" ref="I20:I29" si="8">H6*B20+I6*C20</f>
        <v>0</v>
      </c>
      <c r="J20" s="4">
        <f t="shared" ref="J20:J29" si="9">J19+I20</f>
        <v>0</v>
      </c>
      <c r="K20" s="27">
        <f t="shared" si="2"/>
        <v>0</v>
      </c>
      <c r="L20" s="88"/>
      <c r="M20" s="13"/>
      <c r="N20" s="13"/>
      <c r="O20" s="16"/>
      <c r="P20" s="13"/>
      <c r="Q20" s="13"/>
      <c r="R20" s="13"/>
      <c r="S20" s="13"/>
      <c r="T20" s="13"/>
      <c r="U20" s="13"/>
      <c r="V20" s="13"/>
      <c r="W20" s="13"/>
      <c r="X20" s="13"/>
    </row>
    <row r="21" spans="1:24" x14ac:dyDescent="0.25">
      <c r="A21" s="11" t="str">
        <f>Enrollment!F2</f>
        <v>Spring 23</v>
      </c>
      <c r="B21" s="4">
        <f t="shared" si="3"/>
        <v>133.56160000000003</v>
      </c>
      <c r="C21" s="4">
        <f t="shared" si="1"/>
        <v>147.56639999999999</v>
      </c>
      <c r="D21" s="4">
        <f t="shared" ref="D21:E21" si="10">D7*B21</f>
        <v>13.356160000000003</v>
      </c>
      <c r="E21" s="4">
        <f t="shared" si="10"/>
        <v>22.134959999999996</v>
      </c>
      <c r="F21" s="4">
        <f t="shared" si="5"/>
        <v>159.97312000000002</v>
      </c>
      <c r="G21" s="4">
        <f t="shared" si="6"/>
        <v>3.7344599999999999</v>
      </c>
      <c r="H21" s="4">
        <f t="shared" si="7"/>
        <v>4.9792800000000002</v>
      </c>
      <c r="I21" s="4">
        <f t="shared" si="8"/>
        <v>0</v>
      </c>
      <c r="J21" s="4">
        <f t="shared" si="9"/>
        <v>0</v>
      </c>
      <c r="K21" s="27">
        <f t="shared" si="2"/>
        <v>0</v>
      </c>
      <c r="L21" s="88"/>
      <c r="M21" s="13"/>
      <c r="N21" s="13"/>
      <c r="O21" s="16"/>
      <c r="P21" s="13"/>
      <c r="Q21" s="13"/>
      <c r="R21" s="13"/>
      <c r="S21" s="13"/>
      <c r="T21" s="13"/>
      <c r="U21" s="13"/>
      <c r="V21" s="13"/>
      <c r="W21" s="13"/>
      <c r="X21" s="13"/>
    </row>
    <row r="22" spans="1:24" x14ac:dyDescent="0.25">
      <c r="A22" s="11" t="str">
        <f>Enrollment!G2</f>
        <v>Fall 23</v>
      </c>
      <c r="B22" s="4">
        <f t="shared" si="3"/>
        <v>107.97737200000002</v>
      </c>
      <c r="C22" s="4">
        <f t="shared" si="1"/>
        <v>146.37324799999999</v>
      </c>
      <c r="D22" s="4">
        <f t="shared" ref="D22:E22" si="11">D8*B22</f>
        <v>10.797737200000002</v>
      </c>
      <c r="E22" s="4">
        <f t="shared" si="11"/>
        <v>21.955987199999999</v>
      </c>
      <c r="F22" s="4">
        <f t="shared" si="5"/>
        <v>192.72684440000003</v>
      </c>
      <c r="G22" s="4">
        <f t="shared" si="6"/>
        <v>4.7991936000000006</v>
      </c>
      <c r="H22" s="4">
        <f t="shared" si="7"/>
        <v>7.9986560000000013</v>
      </c>
      <c r="I22" s="4">
        <f t="shared" si="8"/>
        <v>0</v>
      </c>
      <c r="J22" s="4">
        <f t="shared" si="9"/>
        <v>0</v>
      </c>
      <c r="K22" s="27">
        <f t="shared" si="2"/>
        <v>0</v>
      </c>
      <c r="L22" s="88"/>
      <c r="M22" s="13"/>
      <c r="N22" s="13"/>
      <c r="O22" s="16"/>
      <c r="P22" s="13"/>
      <c r="Q22" s="13"/>
      <c r="R22" s="13"/>
      <c r="S22" s="13"/>
      <c r="T22" s="13"/>
      <c r="U22" s="13"/>
      <c r="V22" s="13"/>
      <c r="W22" s="13"/>
      <c r="X22" s="13"/>
    </row>
    <row r="23" spans="1:24" x14ac:dyDescent="0.25">
      <c r="A23" s="11" t="str">
        <f>Enrollment!H2</f>
        <v>Spring 24</v>
      </c>
      <c r="B23" s="4">
        <f t="shared" si="3"/>
        <v>90.701583920000004</v>
      </c>
      <c r="C23" s="4">
        <f t="shared" si="1"/>
        <v>143.69316128</v>
      </c>
      <c r="D23" s="4">
        <f t="shared" ref="D23:E23" si="12">D9*B23</f>
        <v>9.0701583920000015</v>
      </c>
      <c r="E23" s="4">
        <f t="shared" si="12"/>
        <v>21.553974191999998</v>
      </c>
      <c r="F23" s="4">
        <f t="shared" si="5"/>
        <v>223.35097698400003</v>
      </c>
      <c r="G23" s="4">
        <f t="shared" si="6"/>
        <v>5.7818053320000011</v>
      </c>
      <c r="H23" s="4">
        <f t="shared" si="7"/>
        <v>9.6363422200000031</v>
      </c>
      <c r="I23" s="4">
        <f t="shared" si="8"/>
        <v>0</v>
      </c>
      <c r="J23" s="4">
        <f t="shared" si="9"/>
        <v>0</v>
      </c>
      <c r="K23" s="27">
        <f t="shared" si="2"/>
        <v>0</v>
      </c>
      <c r="L23" s="88"/>
      <c r="M23" s="13"/>
      <c r="N23" s="13"/>
      <c r="O23" s="16"/>
      <c r="P23" s="13"/>
      <c r="Q23" s="13"/>
      <c r="R23" s="13"/>
      <c r="S23" s="13"/>
      <c r="T23" s="13"/>
      <c r="U23" s="13"/>
      <c r="V23" s="13"/>
      <c r="W23" s="13"/>
      <c r="X23" s="13"/>
    </row>
    <row r="24" spans="1:24" x14ac:dyDescent="0.25">
      <c r="A24" s="11" t="str">
        <f>Enrollment!I2</f>
        <v>Fall 24</v>
      </c>
      <c r="B24" s="4">
        <f t="shared" si="3"/>
        <v>79.107151008000017</v>
      </c>
      <c r="C24" s="4">
        <f t="shared" si="1"/>
        <v>140.08160915999997</v>
      </c>
      <c r="D24" s="4">
        <f t="shared" ref="D24:E24" si="13">D10*B24</f>
        <v>7.9107151008000018</v>
      </c>
      <c r="E24" s="4">
        <f t="shared" si="13"/>
        <v>21.012241373999995</v>
      </c>
      <c r="F24" s="4">
        <f t="shared" si="5"/>
        <v>252.2739334588</v>
      </c>
      <c r="G24" s="4">
        <f t="shared" si="6"/>
        <v>6.7005293095200003</v>
      </c>
      <c r="H24" s="4">
        <f t="shared" si="7"/>
        <v>11.167548849200003</v>
      </c>
      <c r="I24" s="4">
        <f t="shared" si="8"/>
        <v>0.79107151008000021</v>
      </c>
      <c r="J24" s="4">
        <f t="shared" si="9"/>
        <v>0.79107151008000021</v>
      </c>
      <c r="K24" s="27">
        <f t="shared" si="2"/>
        <v>3.6090879362321018E-3</v>
      </c>
      <c r="L24" s="88"/>
      <c r="M24" s="13"/>
      <c r="N24" s="13"/>
      <c r="O24" s="16"/>
      <c r="P24" s="13"/>
      <c r="Q24" s="13"/>
      <c r="R24" s="13"/>
      <c r="S24" s="13"/>
      <c r="T24" s="13"/>
      <c r="U24" s="13"/>
      <c r="V24" s="13"/>
      <c r="W24" s="13"/>
      <c r="X24" s="13"/>
    </row>
    <row r="25" spans="1:24" x14ac:dyDescent="0.25">
      <c r="A25" s="11" t="str">
        <f>Enrollment!J2</f>
        <v>Spring 25</v>
      </c>
      <c r="B25" s="4">
        <f>IF(B24-D24+G24-(B24*(B10+H10))+(C24*(C10))&lt;0,0,B24-D24+G24-(B24*(B10+H10))+(C24*(C10)))</f>
        <v>70.546195360560006</v>
      </c>
      <c r="C25" s="4">
        <f t="shared" si="1"/>
        <v>136.79661498127999</v>
      </c>
      <c r="D25" s="4">
        <f t="shared" ref="D25:E25" si="14">D11*B25</f>
        <v>7.0546195360560011</v>
      </c>
      <c r="E25" s="4">
        <f t="shared" si="14"/>
        <v>20.519492247191998</v>
      </c>
      <c r="F25" s="4">
        <f t="shared" si="5"/>
        <v>279.84804524204799</v>
      </c>
      <c r="G25" s="4">
        <f t="shared" si="6"/>
        <v>7.5682180037639997</v>
      </c>
      <c r="H25" s="4">
        <f t="shared" si="7"/>
        <v>12.613696672940002</v>
      </c>
      <c r="I25" s="4">
        <f t="shared" si="8"/>
        <v>1.4109239072112001</v>
      </c>
      <c r="J25" s="4">
        <f t="shared" si="9"/>
        <v>2.2019954172912004</v>
      </c>
      <c r="K25" s="27">
        <f t="shared" si="2"/>
        <v>1.0620071241731678E-2</v>
      </c>
      <c r="L25" s="88"/>
      <c r="M25" s="13"/>
      <c r="N25" s="13"/>
      <c r="O25" s="16"/>
      <c r="P25" s="13"/>
      <c r="Q25" s="13"/>
      <c r="R25" s="13"/>
      <c r="S25" s="13"/>
      <c r="T25" s="13"/>
      <c r="U25" s="13"/>
      <c r="V25" s="13"/>
      <c r="W25" s="13"/>
      <c r="X25" s="13"/>
    </row>
    <row r="26" spans="1:24" x14ac:dyDescent="0.25">
      <c r="A26" s="11" t="str">
        <f>Enrollment!K2</f>
        <v>Fall 25</v>
      </c>
      <c r="B26" s="4">
        <f t="shared" si="3"/>
        <v>64.281058671833591</v>
      </c>
      <c r="C26" s="4">
        <f t="shared" si="1"/>
        <v>134.25863065625117</v>
      </c>
      <c r="D26" s="4">
        <f t="shared" ref="D26:E26" si="15">D12*B26</f>
        <v>6.4281058671833593</v>
      </c>
      <c r="E26" s="4">
        <f t="shared" si="15"/>
        <v>20.138794598437673</v>
      </c>
      <c r="F26" s="4">
        <f t="shared" si="5"/>
        <v>306.41494570766906</v>
      </c>
      <c r="G26" s="4">
        <f t="shared" si="6"/>
        <v>8.3954413572614399</v>
      </c>
      <c r="H26" s="4">
        <f t="shared" si="7"/>
        <v>13.9924022621024</v>
      </c>
      <c r="I26" s="4">
        <f t="shared" si="8"/>
        <v>9.6421588007750376</v>
      </c>
      <c r="J26" s="4">
        <f t="shared" si="9"/>
        <v>11.844154218066238</v>
      </c>
      <c r="K26" s="27">
        <f t="shared" si="2"/>
        <v>5.9656355150701869E-2</v>
      </c>
      <c r="L26" s="88"/>
      <c r="M26" s="13"/>
      <c r="N26" s="13"/>
      <c r="O26" s="16"/>
      <c r="P26" s="13"/>
      <c r="Q26" s="13"/>
      <c r="R26" s="13"/>
      <c r="S26" s="13"/>
      <c r="T26" s="13"/>
      <c r="U26" s="13"/>
      <c r="V26" s="13"/>
      <c r="W26" s="13"/>
      <c r="X26" s="13"/>
    </row>
    <row r="27" spans="1:24" x14ac:dyDescent="0.25">
      <c r="A27" s="11" t="str">
        <f>Enrollment!L2</f>
        <v>Spring 26</v>
      </c>
      <c r="B27" s="4">
        <f t="shared" si="3"/>
        <v>52.033401998648344</v>
      </c>
      <c r="C27" s="4">
        <f t="shared" si="1"/>
        <v>132.68507168240419</v>
      </c>
      <c r="D27" s="4">
        <f t="shared" ref="D27:E27" si="16">D13*B27</f>
        <v>5.2033401998648348</v>
      </c>
      <c r="E27" s="4">
        <f t="shared" si="16"/>
        <v>19.902760752360628</v>
      </c>
      <c r="F27" s="4">
        <f t="shared" si="5"/>
        <v>331.52104665989452</v>
      </c>
      <c r="G27" s="4">
        <f t="shared" si="6"/>
        <v>9.1924483712300713</v>
      </c>
      <c r="H27" s="4">
        <f t="shared" si="7"/>
        <v>15.320747285383455</v>
      </c>
      <c r="I27" s="4">
        <f t="shared" si="8"/>
        <v>7.8050102997972512</v>
      </c>
      <c r="J27" s="4">
        <f t="shared" si="9"/>
        <v>19.64916451786349</v>
      </c>
      <c r="K27" s="27">
        <f t="shared" si="2"/>
        <v>0.10637357556229635</v>
      </c>
      <c r="L27" s="88"/>
      <c r="M27" s="13"/>
      <c r="N27" s="13"/>
      <c r="O27" s="16"/>
      <c r="P27" s="13"/>
      <c r="Q27" s="13"/>
      <c r="R27" s="13"/>
      <c r="S27" s="13"/>
      <c r="T27" s="13"/>
      <c r="U27" s="13"/>
      <c r="V27" s="13"/>
      <c r="W27" s="13"/>
      <c r="X27" s="13"/>
    </row>
    <row r="28" spans="1:24" x14ac:dyDescent="0.25">
      <c r="A28" s="11" t="str">
        <f>Enrollment!M2</f>
        <v>Fall 26</v>
      </c>
      <c r="B28" s="4">
        <f t="shared" si="3"/>
        <v>46.396320458848734</v>
      </c>
      <c r="C28" s="4">
        <f t="shared" si="1"/>
        <v>129.92423762679462</v>
      </c>
      <c r="D28" s="4">
        <f t="shared" ref="D28:E28" si="17">D14*B28</f>
        <v>4.6396320458848734</v>
      </c>
      <c r="E28" s="4">
        <f t="shared" si="17"/>
        <v>19.488635644019194</v>
      </c>
      <c r="F28" s="4">
        <f t="shared" si="5"/>
        <v>355.6493143497986</v>
      </c>
      <c r="G28" s="4">
        <f t="shared" si="6"/>
        <v>9.9456313997968362</v>
      </c>
      <c r="H28" s="4">
        <f t="shared" si="7"/>
        <v>16.576052332994728</v>
      </c>
      <c r="I28" s="4">
        <f t="shared" si="8"/>
        <v>10.857175197631149</v>
      </c>
      <c r="J28" s="4">
        <f t="shared" si="9"/>
        <v>30.50633971549464</v>
      </c>
      <c r="K28" s="27">
        <f t="shared" si="2"/>
        <v>0.17301635184637368</v>
      </c>
      <c r="L28" s="88"/>
      <c r="M28" s="13"/>
      <c r="N28" s="13"/>
      <c r="O28" s="16"/>
      <c r="P28" s="13"/>
      <c r="Q28" s="13"/>
      <c r="R28" s="13"/>
      <c r="S28" s="13"/>
      <c r="T28" s="13"/>
      <c r="U28" s="13"/>
      <c r="V28" s="13"/>
      <c r="W28" s="13"/>
      <c r="X28" s="13"/>
    </row>
    <row r="29" spans="1:24" x14ac:dyDescent="0.25">
      <c r="A29" s="11" t="str">
        <f>Enrollment!N2</f>
        <v>Spring 27</v>
      </c>
      <c r="B29" s="4">
        <f t="shared" si="3"/>
        <v>43.816399368958237</v>
      </c>
      <c r="C29" s="4">
        <f t="shared" si="1"/>
        <v>124.04039956194148</v>
      </c>
      <c r="D29" s="4">
        <f t="shared" ref="D29:E29" si="18">D15*B29</f>
        <v>4.3816399368958239</v>
      </c>
      <c r="E29" s="4">
        <f t="shared" si="18"/>
        <v>18.606059934291221</v>
      </c>
      <c r="F29" s="4">
        <f t="shared" si="5"/>
        <v>378.63701422098569</v>
      </c>
      <c r="G29" s="4">
        <f t="shared" si="6"/>
        <v>10.669479430493958</v>
      </c>
      <c r="H29" s="4">
        <f t="shared" si="7"/>
        <v>17.782465717489931</v>
      </c>
      <c r="I29" s="4">
        <f t="shared" si="8"/>
        <v>11.534075887821395</v>
      </c>
      <c r="J29" s="4">
        <f t="shared" si="9"/>
        <v>42.040415603316035</v>
      </c>
      <c r="K29" s="27">
        <f t="shared" si="2"/>
        <v>0.25045405292533002</v>
      </c>
      <c r="L29" s="88"/>
      <c r="M29" s="13"/>
      <c r="N29" s="13"/>
      <c r="O29" s="16"/>
      <c r="P29" s="13"/>
      <c r="Q29" s="13"/>
      <c r="R29" s="13"/>
      <c r="S29" s="13"/>
      <c r="T29" s="13"/>
      <c r="U29" s="13"/>
      <c r="V29" s="13"/>
      <c r="W29" s="13"/>
      <c r="X29" s="13"/>
    </row>
    <row r="30" spans="1:24" x14ac:dyDescent="0.25">
      <c r="A30" s="72"/>
      <c r="B30" s="52"/>
      <c r="C30" s="52"/>
      <c r="D30" s="52"/>
      <c r="E30" s="52"/>
      <c r="F30" s="52"/>
      <c r="G30" s="52"/>
      <c r="H30" s="52"/>
      <c r="I30" s="52"/>
      <c r="J30" s="52"/>
      <c r="K30" s="13"/>
      <c r="L30" s="9" t="s">
        <v>126</v>
      </c>
      <c r="M30" s="8"/>
      <c r="N30" s="9" t="str">
        <f>"Coninuing Since  "&amp;$A$18</f>
        <v>Coninuing Since  New Fall 21</v>
      </c>
      <c r="O30" s="8"/>
      <c r="P30" s="8"/>
      <c r="Q30" s="11" t="s">
        <v>127</v>
      </c>
      <c r="R30" s="13"/>
      <c r="S30" s="13"/>
      <c r="T30" s="13"/>
      <c r="U30" s="13"/>
      <c r="V30" s="13"/>
      <c r="W30" s="13"/>
      <c r="X30" s="13"/>
    </row>
    <row r="31" spans="1:24" x14ac:dyDescent="0.25">
      <c r="A31" s="11" t="str">
        <f>$A$17</f>
        <v>Semester</v>
      </c>
      <c r="B31" s="12" t="s">
        <v>82</v>
      </c>
      <c r="C31" s="12" t="s">
        <v>83</v>
      </c>
      <c r="D31" s="12" t="s">
        <v>93</v>
      </c>
      <c r="E31" s="12" t="s">
        <v>92</v>
      </c>
      <c r="F31" s="12" t="s">
        <v>84</v>
      </c>
      <c r="G31" s="12" t="s">
        <v>94</v>
      </c>
      <c r="H31" s="12" t="s">
        <v>95</v>
      </c>
      <c r="I31" s="12" t="s">
        <v>81</v>
      </c>
      <c r="J31" s="12" t="s">
        <v>85</v>
      </c>
      <c r="K31" s="12" t="s">
        <v>96</v>
      </c>
      <c r="L31" s="12" t="s">
        <v>100</v>
      </c>
      <c r="M31" s="12" t="s">
        <v>101</v>
      </c>
      <c r="N31" s="12" t="s">
        <v>100</v>
      </c>
      <c r="O31" s="12" t="s">
        <v>101</v>
      </c>
      <c r="P31" s="12" t="s">
        <v>100</v>
      </c>
      <c r="Q31" s="12" t="s">
        <v>101</v>
      </c>
      <c r="R31" s="13"/>
      <c r="S31" s="13"/>
      <c r="T31" s="13"/>
      <c r="U31" s="13"/>
      <c r="V31" s="13"/>
      <c r="W31" s="13"/>
      <c r="X31" s="13"/>
    </row>
    <row r="32" spans="1:24" x14ac:dyDescent="0.25">
      <c r="A32" s="11" t="str">
        <f>"New "&amp;$A$19</f>
        <v>New Spring 22</v>
      </c>
      <c r="B32" s="80">
        <f>Enrollment!D3</f>
        <v>128</v>
      </c>
      <c r="C32" s="80">
        <f>Enrollment!D5</f>
        <v>32</v>
      </c>
      <c r="D32" s="4">
        <f>$D$4*B32</f>
        <v>12.8</v>
      </c>
      <c r="E32" s="4">
        <f>$E$4*C32</f>
        <v>4.8</v>
      </c>
      <c r="F32" s="4">
        <f>D32+E32</f>
        <v>17.600000000000001</v>
      </c>
      <c r="G32" s="4">
        <v>0</v>
      </c>
      <c r="H32" s="4">
        <v>0</v>
      </c>
      <c r="I32" s="4">
        <f>$H$4*B32+$I$4*C32</f>
        <v>0</v>
      </c>
      <c r="J32" s="4">
        <f>I32</f>
        <v>0</v>
      </c>
      <c r="K32" s="27">
        <f>J32/(B32+C32)</f>
        <v>0</v>
      </c>
      <c r="L32" s="4">
        <f>L177</f>
        <v>885.0895979528176</v>
      </c>
      <c r="M32" s="4">
        <f>M177</f>
        <v>1411.5488423853401</v>
      </c>
      <c r="N32" s="6">
        <f>B19</f>
        <v>232</v>
      </c>
      <c r="O32" s="6">
        <f>C19</f>
        <v>124</v>
      </c>
      <c r="P32" s="6">
        <f>L32+N32</f>
        <v>1117.0895979528177</v>
      </c>
      <c r="Q32" s="6">
        <f>M32+O32</f>
        <v>1535.5488423853401</v>
      </c>
      <c r="R32" s="13"/>
      <c r="S32" s="13"/>
      <c r="T32" s="13"/>
      <c r="U32" s="13"/>
      <c r="V32" s="13"/>
      <c r="W32" s="13"/>
      <c r="X32" s="13"/>
    </row>
    <row r="33" spans="1:24" x14ac:dyDescent="0.25">
      <c r="A33" s="11" t="str">
        <f>$A$20</f>
        <v>Fall 22</v>
      </c>
      <c r="B33" s="4">
        <f>IF(B32-D32+G32-(B32*($B$4+$H$4))+(C32*($C$4))&lt;0,0,B32-D32+G32-(B32*($B$4+$H$4))+(C32*($C$4)))</f>
        <v>92.8</v>
      </c>
      <c r="C33" s="4">
        <f>IF(C32-E32+H32-(C32*($C$4+$I$4))+(B32*($B$4))&lt;0,0,C32-E32+H32-(C32*($C$4+$I$4))+(B32*($B$4)))</f>
        <v>49.6</v>
      </c>
      <c r="D33" s="4">
        <f>$D$5*B33</f>
        <v>9.2799999999999994</v>
      </c>
      <c r="E33" s="4">
        <f>$E$5*C33</f>
        <v>7.4399999999999995</v>
      </c>
      <c r="F33" s="4">
        <f>F32+D33+E33</f>
        <v>34.32</v>
      </c>
      <c r="G33" s="4">
        <f>$F$5*F32</f>
        <v>0.17600000000000002</v>
      </c>
      <c r="H33" s="4">
        <f>$G$5*F32</f>
        <v>0.35200000000000004</v>
      </c>
      <c r="I33" s="4">
        <f>$H$5*B33+$I$5*C33</f>
        <v>0</v>
      </c>
      <c r="J33" s="4">
        <f>J32+I33</f>
        <v>0</v>
      </c>
      <c r="K33" s="27">
        <f t="shared" ref="K33" si="19">J33/(B33+C33)</f>
        <v>0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1:24" x14ac:dyDescent="0.25">
      <c r="A34" s="11" t="str">
        <f>$A$21</f>
        <v>Spring 23</v>
      </c>
      <c r="B34" s="4">
        <f>IF(B33-D33+G33-(B33*($B$5+$H$5))+(C33*($C$5))&lt;0,0,B33-D33+G33-(B33*($B$5+$H$5))+(C33*($C$5)))</f>
        <v>69.168000000000006</v>
      </c>
      <c r="C34" s="4">
        <f>IF(C33-E33+H33-(C33*($C$5+$I$5))+(B33*($B$5))&lt;0,0,C33-E33+H33-(C33*($C$5+$I$5))+(B33*($B$5)))</f>
        <v>57.04</v>
      </c>
      <c r="D34" s="4">
        <f>$D$6*B34</f>
        <v>6.9168000000000012</v>
      </c>
      <c r="E34" s="4">
        <f>$E$6*C34</f>
        <v>8.5559999999999992</v>
      </c>
      <c r="F34" s="4">
        <f t="shared" ref="F34:F43" si="20">F33+D34+E34</f>
        <v>49.7928</v>
      </c>
      <c r="G34" s="4">
        <f>$F$6*F33</f>
        <v>0.68640000000000001</v>
      </c>
      <c r="H34" s="4">
        <f>$G$6*F33</f>
        <v>1.0296000000000001</v>
      </c>
      <c r="I34" s="4">
        <f>$H$6*B34+$I$6*C34</f>
        <v>0</v>
      </c>
      <c r="J34" s="4">
        <f t="shared" ref="J34:J43" si="21">J33+I34</f>
        <v>0</v>
      </c>
      <c r="K34" s="27">
        <f t="shared" ref="K34:K43" si="22">J34/(B34+C34)</f>
        <v>0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1:24" x14ac:dyDescent="0.25">
      <c r="A35" s="11" t="str">
        <f>$A$22</f>
        <v>Fall 23</v>
      </c>
      <c r="B35" s="4">
        <f>IF(B34-D34+G34-(B34*($B$6+$H$6))+(C34*($C$6))&lt;0,0,B34-D34+G34-(B34*($B$6+$H$6))+(C34*($C$6)))</f>
        <v>53.424640000000004</v>
      </c>
      <c r="C35" s="4">
        <f>IF(C34-E34+H34-(C34*($C$6+$I$6))+(B34*($B$6))&lt;0,0,C34-E34+H34-(C34*($C$6+$I$6))+(B34*($B$6)))</f>
        <v>59.026560000000003</v>
      </c>
      <c r="D35" s="4">
        <f>$D$7*B35</f>
        <v>5.3424640000000005</v>
      </c>
      <c r="E35" s="4">
        <f>$E$7*C35</f>
        <v>8.8539840000000005</v>
      </c>
      <c r="F35" s="4">
        <f t="shared" si="20"/>
        <v>63.989248000000003</v>
      </c>
      <c r="G35" s="4">
        <f>$F$7*F34</f>
        <v>1.493784</v>
      </c>
      <c r="H35" s="4">
        <f>$G$7*F34</f>
        <v>1.9917119999999999</v>
      </c>
      <c r="I35" s="4">
        <f>$H$7*B35+$I$7*C35</f>
        <v>0</v>
      </c>
      <c r="J35" s="4">
        <f t="shared" si="21"/>
        <v>0</v>
      </c>
      <c r="K35" s="27">
        <f t="shared" si="22"/>
        <v>0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1:24" x14ac:dyDescent="0.25">
      <c r="A36" s="11" t="str">
        <f>$A$23</f>
        <v>Spring 24</v>
      </c>
      <c r="B36" s="4">
        <f>IF(B35-D35+G35-(B35*($B$7+$H$7))+(C35*($C$7))&lt;0,0,B35-D35+G35-(B35*($B$7+$H$7))+(C35*($C$7)))</f>
        <v>43.190948800000001</v>
      </c>
      <c r="C36" s="4">
        <f>IF(C35-E35+H35-(C35*($C$7+$I$7))+(B35*($B$7))&lt;0,0,C35-E35+H35-(C35*($C$7+$I$7))+(B35*($B$7)))</f>
        <v>58.549299200000007</v>
      </c>
      <c r="D36" s="4">
        <f>$D$8*B36</f>
        <v>4.3190948800000006</v>
      </c>
      <c r="E36" s="4">
        <f>$E$8*C36</f>
        <v>8.78239488</v>
      </c>
      <c r="F36" s="4">
        <f t="shared" si="20"/>
        <v>77.090737759999996</v>
      </c>
      <c r="G36" s="4">
        <f>$F$8*F35</f>
        <v>1.9196774400000001</v>
      </c>
      <c r="H36" s="4">
        <f>$G$8*F35</f>
        <v>3.1994624000000003</v>
      </c>
      <c r="I36" s="4">
        <f>$H$8*B36+$I$8*C36</f>
        <v>0</v>
      </c>
      <c r="J36" s="4">
        <f t="shared" si="21"/>
        <v>0</v>
      </c>
      <c r="K36" s="27">
        <f t="shared" si="22"/>
        <v>0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 x14ac:dyDescent="0.25">
      <c r="A37" s="11" t="str">
        <f>$A$24</f>
        <v>Fall 24</v>
      </c>
      <c r="B37" s="4">
        <f>IF(B36-D36+G36-(B36*($B$8+$H$8))+(C36*($C$8))&lt;0,0,B36-D36+G36-(B36*($B$8+$H$8))+(C36*($C$8)))</f>
        <v>36.280633568000006</v>
      </c>
      <c r="C37" s="4">
        <f>IF(C36-E36+H36-(C36*($C$8+$I$8))+(B36*($B$8))&lt;0,0,C36-E36+H36-(C36*($C$8+$I$8))+(B36*($B$8)))</f>
        <v>57.477264512000005</v>
      </c>
      <c r="D37" s="4">
        <f>$D$9*B37</f>
        <v>3.6280633568000007</v>
      </c>
      <c r="E37" s="4">
        <f>$E$9*C37</f>
        <v>8.6215896768000011</v>
      </c>
      <c r="F37" s="4">
        <f t="shared" si="20"/>
        <v>89.340390793599994</v>
      </c>
      <c r="G37" s="4">
        <f>$F$9*F36</f>
        <v>2.3127221327999998</v>
      </c>
      <c r="H37" s="4">
        <f>$G$9*F36</f>
        <v>3.8545368880000002</v>
      </c>
      <c r="I37" s="4">
        <f>$H$9*B37+$I$9*C37</f>
        <v>0</v>
      </c>
      <c r="J37" s="4">
        <f t="shared" si="21"/>
        <v>0</v>
      </c>
      <c r="K37" s="27">
        <f t="shared" si="22"/>
        <v>0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4" x14ac:dyDescent="0.25">
      <c r="A38" s="11" t="str">
        <f>$A$25</f>
        <v>Spring 25</v>
      </c>
      <c r="B38" s="4">
        <f>IF(B37-D37+G37-(B37*($B$9+$H$9))+(C37*($C$9))&lt;0,0,B37-D37+G37-(B37*($B$9+$H$9))+(C37*($C$9)))</f>
        <v>31.642860403200004</v>
      </c>
      <c r="C38" s="4">
        <f>IF(C37-E37+H37-(C37*($C$9+$I$9))+(B37*($B$9))&lt;0,0,C37-E37+H37-(C37*($C$9+$I$9))+(B37*($B$9)))</f>
        <v>56.032643664000005</v>
      </c>
      <c r="D38" s="4">
        <f>$D$10*B38</f>
        <v>3.1642860403200004</v>
      </c>
      <c r="E38" s="4">
        <f>$E$10*C38</f>
        <v>8.4048965496000001</v>
      </c>
      <c r="F38" s="4">
        <f t="shared" si="20"/>
        <v>100.90957338352</v>
      </c>
      <c r="G38" s="4">
        <f>$F$10*F37</f>
        <v>2.6802117238079997</v>
      </c>
      <c r="H38" s="4">
        <f>$G$10*F37</f>
        <v>4.4670195396799999</v>
      </c>
      <c r="I38" s="4">
        <f>$H$10*B38+$I$10*C38</f>
        <v>0.31642860403200007</v>
      </c>
      <c r="J38" s="4">
        <f t="shared" si="21"/>
        <v>0.31642860403200007</v>
      </c>
      <c r="K38" s="27">
        <f t="shared" si="22"/>
        <v>3.6090879362321009E-3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 x14ac:dyDescent="0.25">
      <c r="A39" s="11" t="str">
        <f>$A$26</f>
        <v>Fall 25</v>
      </c>
      <c r="B39" s="4">
        <f>IF(B38-D38+G38-(B38*($B$10+$H$10))+(C38*($C$10))&lt;0,0,B38-D38+G38-(B38*($B$10+$H$10))+(C38*($C$10)))</f>
        <v>28.218478144224004</v>
      </c>
      <c r="C39" s="4">
        <f>IF(C38-E38+H38-(C38*($C$10+$I$10))+(B38*($B$10))&lt;0,0,C38-E38+H38-(C38*($C$10+$I$10))+(B38*($B$10)))</f>
        <v>54.718645992512009</v>
      </c>
      <c r="D39" s="4">
        <f>$D$11*B39</f>
        <v>2.8218478144224006</v>
      </c>
      <c r="E39" s="4">
        <f>$E$11*C39</f>
        <v>8.2077968988768006</v>
      </c>
      <c r="F39" s="4">
        <f t="shared" si="20"/>
        <v>111.93921809681919</v>
      </c>
      <c r="G39" s="4">
        <f>$F$11*F38</f>
        <v>3.0272872015056</v>
      </c>
      <c r="H39" s="4">
        <f>$G$11*F38</f>
        <v>5.0454786691760001</v>
      </c>
      <c r="I39" s="4">
        <f>$H$11*B39+$I$11*C39</f>
        <v>0.56436956288448015</v>
      </c>
      <c r="J39" s="4">
        <f t="shared" si="21"/>
        <v>0.88079816691648016</v>
      </c>
      <c r="K39" s="27">
        <f t="shared" si="22"/>
        <v>1.0620071241731675E-2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4" x14ac:dyDescent="0.25">
      <c r="A40" s="11" t="str">
        <f>$A$27</f>
        <v>Spring 26</v>
      </c>
      <c r="B40" s="4">
        <f>IF(B39-D39+G39-(B39*($B$11+$H$11))+(C39*($C$11))&lt;0,0,B39-D39+G39-(B39*($B$11+$H$11))+(C39*($C$11)))</f>
        <v>25.712423468733444</v>
      </c>
      <c r="C40" s="4">
        <f>IF(C39-E39+H39-(C39*($C$11+$I$11))+(B39*($B$11))&lt;0,0,C39-E39+H39-(C39*($C$11+$I$11))+(B39*($B$11)))</f>
        <v>53.703452262500484</v>
      </c>
      <c r="D40" s="4">
        <f>$D$12*B40</f>
        <v>2.5712423468733445</v>
      </c>
      <c r="E40" s="4">
        <f>$E$12*C40</f>
        <v>8.0555178393750726</v>
      </c>
      <c r="F40" s="4">
        <f t="shared" si="20"/>
        <v>122.56597828306761</v>
      </c>
      <c r="G40" s="4">
        <f>$F$12*F39</f>
        <v>3.3581765429045753</v>
      </c>
      <c r="H40" s="4">
        <f>$G$12*F39</f>
        <v>5.5969609048409596</v>
      </c>
      <c r="I40" s="4">
        <f>$H$12*B40+$I$12*C40</f>
        <v>3.8568635203100166</v>
      </c>
      <c r="J40" s="4">
        <f t="shared" si="21"/>
        <v>4.7376616872264972</v>
      </c>
      <c r="K40" s="27">
        <f t="shared" si="22"/>
        <v>5.9656355150701876E-2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spans="1:24" x14ac:dyDescent="0.25">
      <c r="A41" s="11" t="str">
        <f>$A$28</f>
        <v>Fall 26</v>
      </c>
      <c r="B41" s="4">
        <f>IF(B40-D40+G40-(B40*($B$12+$H$12))+(C40*($C$12))&lt;0,0,B40-D40+G40-(B40*($B$12+$H$12))+(C40*($C$12)))</f>
        <v>20.813360799459343</v>
      </c>
      <c r="C41" s="4">
        <f>IF(C40-E40+H40-(C40*($C$12+$I$12))+(B40*($B$12))&lt;0,0,C40-E40+H40-(C40*($C$12+$I$12))+(B40*($B$12)))</f>
        <v>53.074028672961688</v>
      </c>
      <c r="D41" s="4">
        <f>$D$13*B41</f>
        <v>2.0813360799459342</v>
      </c>
      <c r="E41" s="4">
        <f>$E$13*C41</f>
        <v>7.9611043009442533</v>
      </c>
      <c r="F41" s="4">
        <f t="shared" si="20"/>
        <v>132.60841866395779</v>
      </c>
      <c r="G41" s="4">
        <f>$F$13*F40</f>
        <v>3.6769793484920279</v>
      </c>
      <c r="H41" s="4">
        <f>$G$13*F40</f>
        <v>6.1282989141533806</v>
      </c>
      <c r="I41" s="4">
        <f>$H$13*B41+$I$13*C41</f>
        <v>3.1220041199189015</v>
      </c>
      <c r="J41" s="4">
        <f t="shared" si="21"/>
        <v>7.8596658071453991</v>
      </c>
      <c r="K41" s="27">
        <f t="shared" si="22"/>
        <v>0.10637357556229636</v>
      </c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 spans="1:24" x14ac:dyDescent="0.25">
      <c r="A42" s="11" t="str">
        <f>$A$29</f>
        <v>Spring 27</v>
      </c>
      <c r="B42" s="4">
        <f>IF(B41-D41+G41-(B41*($B$13+$H$13))+(C41*($C$13))&lt;0,0,B41-D41+G41-(B41*($B$13+$H$13))+(C41*($C$13)))</f>
        <v>18.558528183539497</v>
      </c>
      <c r="C42" s="4">
        <f>IF(C41-E41+H41-(C41*($C$13+$I$13))+(B41*($B$13))&lt;0,0,C41-E41+H41-(C41*($C$13+$I$13))+(B41*($B$13)))</f>
        <v>51.969695050717853</v>
      </c>
      <c r="D42" s="4">
        <f>$D$14*B42</f>
        <v>1.8558528183539498</v>
      </c>
      <c r="E42" s="4">
        <f>$E$14*C42</f>
        <v>7.7954542576076777</v>
      </c>
      <c r="F42" s="4">
        <f t="shared" si="20"/>
        <v>142.25972573991942</v>
      </c>
      <c r="G42" s="4">
        <f>$F$14*F41</f>
        <v>3.9782525599187335</v>
      </c>
      <c r="H42" s="4">
        <f>$G$14*F41</f>
        <v>6.6304209331978896</v>
      </c>
      <c r="I42" s="4">
        <f>$H$14*B42+$I$14*C42</f>
        <v>4.3428700790524601</v>
      </c>
      <c r="J42" s="4">
        <f t="shared" si="21"/>
        <v>12.202535886197859</v>
      </c>
      <c r="K42" s="27">
        <f t="shared" si="22"/>
        <v>0.17301635184637371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 spans="1:24" x14ac:dyDescent="0.25">
      <c r="A43" s="87"/>
      <c r="B43" s="4">
        <f>IF(B42-D42+G42-(B42*($B$13+$H$13))+(C42*($C$13))&lt;0,0,B42-D42+G42-(B42*($B$13+$H$13))+(C42*($C$13)))</f>
        <v>17.712145029418689</v>
      </c>
      <c r="C43" s="4">
        <f>IF(C42-E42+H42-(C42*($C$14+$I$14))+(B42*($B$14))&lt;0,0,C42-E42+H42-(C42*($C$14+$I$14))+(B42*($B$14)))</f>
        <v>49.616159824776588</v>
      </c>
      <c r="D43" s="4">
        <f>$D$15*B43</f>
        <v>1.7712145029418691</v>
      </c>
      <c r="E43" s="4">
        <f>$E$15*C43</f>
        <v>7.4424239737164877</v>
      </c>
      <c r="F43" s="4">
        <f t="shared" si="20"/>
        <v>151.47336421657778</v>
      </c>
      <c r="G43" s="4">
        <f>$F$15*F42</f>
        <v>4.2677917721975822</v>
      </c>
      <c r="H43" s="4">
        <f>$G$15*F42</f>
        <v>7.1129862869959712</v>
      </c>
      <c r="I43" s="4">
        <f>$H$15*B43+$I$15*C43</f>
        <v>4.6414681474038666</v>
      </c>
      <c r="J43" s="4">
        <f t="shared" si="21"/>
        <v>16.844004033601728</v>
      </c>
      <c r="K43" s="27">
        <f t="shared" si="22"/>
        <v>0.25017715907267735</v>
      </c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 spans="1:24" x14ac:dyDescent="0.25">
      <c r="A44" s="7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9" t="s">
        <v>126</v>
      </c>
      <c r="M44" s="8"/>
      <c r="N44" s="9" t="str">
        <f>"Coninuing Since  "&amp;$A$18</f>
        <v>Coninuing Since  New Fall 21</v>
      </c>
      <c r="O44" s="8"/>
      <c r="P44" s="8"/>
      <c r="Q44" s="11" t="s">
        <v>127</v>
      </c>
      <c r="R44" s="13"/>
      <c r="S44" s="13"/>
      <c r="T44" s="13"/>
      <c r="U44" s="13"/>
      <c r="V44" s="13"/>
      <c r="W44" s="13"/>
      <c r="X44" s="13"/>
    </row>
    <row r="45" spans="1:24" x14ac:dyDescent="0.25">
      <c r="A45" s="11" t="str">
        <f>$A$17</f>
        <v>Semester</v>
      </c>
      <c r="B45" s="12" t="s">
        <v>82</v>
      </c>
      <c r="C45" s="12" t="s">
        <v>83</v>
      </c>
      <c r="D45" s="12" t="s">
        <v>93</v>
      </c>
      <c r="E45" s="12" t="s">
        <v>92</v>
      </c>
      <c r="F45" s="12" t="s">
        <v>84</v>
      </c>
      <c r="G45" s="12" t="s">
        <v>94</v>
      </c>
      <c r="H45" s="12" t="s">
        <v>95</v>
      </c>
      <c r="I45" s="12" t="s">
        <v>81</v>
      </c>
      <c r="J45" s="12" t="s">
        <v>85</v>
      </c>
      <c r="K45" s="12" t="s">
        <v>96</v>
      </c>
      <c r="L45" s="12" t="s">
        <v>100</v>
      </c>
      <c r="M45" s="12" t="s">
        <v>101</v>
      </c>
      <c r="N45" s="12" t="s">
        <v>100</v>
      </c>
      <c r="O45" s="12" t="s">
        <v>101</v>
      </c>
      <c r="P45" s="12" t="s">
        <v>100</v>
      </c>
      <c r="Q45" s="12" t="s">
        <v>101</v>
      </c>
      <c r="R45" s="13"/>
      <c r="S45" s="13"/>
      <c r="T45" s="13"/>
      <c r="U45" s="13"/>
      <c r="V45" s="13"/>
      <c r="W45" s="13"/>
      <c r="X45" s="13"/>
    </row>
    <row r="46" spans="1:24" x14ac:dyDescent="0.25">
      <c r="A46" s="11" t="str">
        <f>"New "&amp;$A$20</f>
        <v>New Fall 22</v>
      </c>
      <c r="B46" s="80">
        <f>Enrollment!E3</f>
        <v>316.8</v>
      </c>
      <c r="C46" s="80">
        <f>Enrollment!E5</f>
        <v>79.2</v>
      </c>
      <c r="D46" s="4">
        <f>$D$4*B46</f>
        <v>31.680000000000003</v>
      </c>
      <c r="E46" s="4">
        <f>$E$4*C46</f>
        <v>11.88</v>
      </c>
      <c r="F46" s="4">
        <f>D46+E46</f>
        <v>43.56</v>
      </c>
      <c r="G46" s="4">
        <v>0</v>
      </c>
      <c r="H46" s="4">
        <v>0</v>
      </c>
      <c r="I46" s="4">
        <f>$H$4*B46+$I$4*C46</f>
        <v>0</v>
      </c>
      <c r="J46" s="4">
        <f>I46</f>
        <v>0</v>
      </c>
      <c r="K46" s="27">
        <f>J46/(B46+C46)</f>
        <v>0</v>
      </c>
      <c r="L46" s="4">
        <f>L178</f>
        <v>707.12959795281756</v>
      </c>
      <c r="M46" s="4">
        <f>M178</f>
        <v>1265.9588423853399</v>
      </c>
      <c r="N46" s="6">
        <f>B33+B20</f>
        <v>265.72000000000003</v>
      </c>
      <c r="O46" s="6">
        <f>C33+C20</f>
        <v>192.2</v>
      </c>
      <c r="P46" s="6">
        <f>L46+N46</f>
        <v>972.84959795281759</v>
      </c>
      <c r="Q46" s="6">
        <f>M46+O46</f>
        <v>1458.15884238534</v>
      </c>
      <c r="R46" s="13"/>
      <c r="S46" s="13"/>
      <c r="T46" s="13"/>
      <c r="U46" s="13"/>
      <c r="V46" s="13"/>
      <c r="W46" s="13"/>
      <c r="X46" s="13"/>
    </row>
    <row r="47" spans="1:24" x14ac:dyDescent="0.25">
      <c r="A47" s="11" t="str">
        <f>$A$21</f>
        <v>Spring 23</v>
      </c>
      <c r="B47" s="4">
        <f>IF(B46-D46+G46-(B46*($B$4+$H$4))+(C46*($C$4))&lt;0,0,B46-D46+G46-(B46*($B$4+$H$4))+(C46*($C$4)))</f>
        <v>229.67999999999998</v>
      </c>
      <c r="C47" s="4">
        <f>IF(C46-E46+H46-(C46*($C$4+$I$4))+(B46*($B$4))&lt;0,0,C46-E46+H46-(C46*($C$4+$I$4))+(B46*($B$4)))</f>
        <v>122.76000000000002</v>
      </c>
      <c r="D47" s="4">
        <f>$D$5*B47</f>
        <v>22.968</v>
      </c>
      <c r="E47" s="4">
        <f>$E$5*C47</f>
        <v>18.414000000000001</v>
      </c>
      <c r="F47" s="4">
        <f>F46+D47+E47</f>
        <v>84.942000000000007</v>
      </c>
      <c r="G47" s="4">
        <f>$F$5*F46</f>
        <v>0.43560000000000004</v>
      </c>
      <c r="H47" s="4">
        <f>$G$5*F46</f>
        <v>0.87120000000000009</v>
      </c>
      <c r="I47" s="4">
        <f>$H$5*B47+$I$5*C47</f>
        <v>0</v>
      </c>
      <c r="J47" s="4">
        <f>J46+I47</f>
        <v>0</v>
      </c>
      <c r="K47" s="27">
        <f t="shared" ref="K47:K57" si="23">J47/(B47+C47)</f>
        <v>0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 x14ac:dyDescent="0.25">
      <c r="A48" s="11" t="str">
        <f>$A$22</f>
        <v>Fall 23</v>
      </c>
      <c r="B48" s="4">
        <f>IF(B47-D47+G47-(B47*($B$5+$H$5))+(C47*($C$5))&lt;0,0,B47-D47+G47-(B47*($B$5+$H$5))+(C47*($C$5)))</f>
        <v>171.1908</v>
      </c>
      <c r="C48" s="4">
        <f>IF(C47-E47+H47-(C47*($C$5+$I$5))+(B47*($B$5))&lt;0,0,C47-E47+H47-(C47*($C$5+$I$5))+(B47*($B$5)))</f>
        <v>141.17400000000001</v>
      </c>
      <c r="D48" s="4">
        <f>$D$6*B48</f>
        <v>17.11908</v>
      </c>
      <c r="E48" s="4">
        <f>$E$6*C48</f>
        <v>21.176100000000002</v>
      </c>
      <c r="F48" s="4">
        <f t="shared" ref="F48:F57" si="24">F47+D48+E48</f>
        <v>123.23718000000001</v>
      </c>
      <c r="G48" s="4">
        <f>$F$6*F47</f>
        <v>1.6988400000000001</v>
      </c>
      <c r="H48" s="4">
        <f>$G$6*F47</f>
        <v>2.54826</v>
      </c>
      <c r="I48" s="4">
        <f>$H$6*B48+$I$6*C48</f>
        <v>0</v>
      </c>
      <c r="J48" s="4">
        <f t="shared" ref="J48:J57" si="25">J47+I48</f>
        <v>0</v>
      </c>
      <c r="K48" s="27">
        <f t="shared" si="23"/>
        <v>0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 spans="1:24" x14ac:dyDescent="0.25">
      <c r="A49" s="11" t="str">
        <f>$A$23</f>
        <v>Spring 24</v>
      </c>
      <c r="B49" s="4">
        <f>IF(B48-D48+G48-(B48*($B$6+$H$6))+(C48*($C$6))&lt;0,0,B48-D48+G48-(B48*($B$6+$H$6))+(C48*($C$6)))</f>
        <v>132.22598399999998</v>
      </c>
      <c r="C49" s="4">
        <f>IF(C48-E48+H48-(C48*($C$6+$I$6))+(B48*($B$6))&lt;0,0,C48-E48+H48-(C48*($C$6+$I$6))+(B48*($B$6)))</f>
        <v>146.09073599999999</v>
      </c>
      <c r="D49" s="4">
        <f>$D$7*B49</f>
        <v>13.222598399999999</v>
      </c>
      <c r="E49" s="4">
        <f>$E$7*C49</f>
        <v>21.9136104</v>
      </c>
      <c r="F49" s="4">
        <f t="shared" si="24"/>
        <v>158.37338880000001</v>
      </c>
      <c r="G49" s="4">
        <f>$F$7*F48</f>
        <v>3.6971153999999999</v>
      </c>
      <c r="H49" s="4">
        <f>$G$7*F48</f>
        <v>4.9294872000000005</v>
      </c>
      <c r="I49" s="4">
        <f>$H$7*B49+$I$7*C49</f>
        <v>0</v>
      </c>
      <c r="J49" s="4">
        <f t="shared" si="25"/>
        <v>0</v>
      </c>
      <c r="K49" s="27">
        <f t="shared" si="23"/>
        <v>0</v>
      </c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spans="1:24" x14ac:dyDescent="0.25">
      <c r="A50" s="11" t="str">
        <f>$A$24</f>
        <v>Fall 24</v>
      </c>
      <c r="B50" s="4">
        <f>IF(B49-D49+G49-(B49*($B$7+$H$7))+(C49*($C$7))&lt;0,0,B49-D49+G49-(B49*($B$7+$H$7))+(C49*($C$7)))</f>
        <v>106.89759828</v>
      </c>
      <c r="C50" s="4">
        <f>IF(C49-E49+H49-(C49*($C$7+$I$7))+(B49*($B$7))&lt;0,0,C49-E49+H49-(C49*($C$7+$I$7))+(B49*($B$7)))</f>
        <v>144.90951551999999</v>
      </c>
      <c r="D50" s="4">
        <f>$D$8*B50</f>
        <v>10.689759828</v>
      </c>
      <c r="E50" s="4">
        <f>$E$8*C50</f>
        <v>21.736427327999998</v>
      </c>
      <c r="F50" s="4">
        <f t="shared" si="24"/>
        <v>190.79957595600001</v>
      </c>
      <c r="G50" s="4">
        <f>$F$8*F49</f>
        <v>4.7512016639999999</v>
      </c>
      <c r="H50" s="4">
        <f>$G$8*F49</f>
        <v>7.9186694400000013</v>
      </c>
      <c r="I50" s="4">
        <f>$H$8*B50+$I$8*C50</f>
        <v>0</v>
      </c>
      <c r="J50" s="4">
        <f t="shared" si="25"/>
        <v>0</v>
      </c>
      <c r="K50" s="27">
        <f t="shared" si="23"/>
        <v>0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4" x14ac:dyDescent="0.25">
      <c r="A51" s="11" t="str">
        <f>$A$25</f>
        <v>Spring 25</v>
      </c>
      <c r="B51" s="4">
        <f>IF(B50-D50+G50-(B50*($B$8+$H$8))+(C50*($C$8))&lt;0,0,B50-D50+G50-(B50*($B$8+$H$8))+(C50*($C$8)))</f>
        <v>89.794568080800005</v>
      </c>
      <c r="C51" s="4">
        <f>IF(C50-E50+H50-(C50*($C$8+$I$8))+(B50*($B$8))&lt;0,0,C50-E50+H50-(C50*($C$8+$I$8))+(B50*($B$8)))</f>
        <v>142.25622966719999</v>
      </c>
      <c r="D51" s="4">
        <f>$D$9*B51</f>
        <v>8.9794568080800001</v>
      </c>
      <c r="E51" s="4">
        <f>$E$9*C51</f>
        <v>21.338434450079998</v>
      </c>
      <c r="F51" s="4">
        <f t="shared" si="24"/>
        <v>221.11746721416</v>
      </c>
      <c r="G51" s="4">
        <f>$F$9*F50</f>
        <v>5.7239872786800001</v>
      </c>
      <c r="H51" s="4">
        <f>$G$9*F50</f>
        <v>9.5399787978000017</v>
      </c>
      <c r="I51" s="4">
        <f>$H$9*B51+$I$9*C51</f>
        <v>0</v>
      </c>
      <c r="J51" s="4">
        <f t="shared" si="25"/>
        <v>0</v>
      </c>
      <c r="K51" s="27">
        <f t="shared" si="23"/>
        <v>0</v>
      </c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 spans="1:24" x14ac:dyDescent="0.25">
      <c r="A52" s="11" t="str">
        <f>$A$26</f>
        <v>Fall 25</v>
      </c>
      <c r="B52" s="4">
        <f>IF(B51-D51+G51-(B51*($B$9+$H$9))+(C51*($C$9))&lt;0,0,B51-D51+G51-(B51*($B$9+$H$9))+(C51*($C$9)))</f>
        <v>78.316079497920001</v>
      </c>
      <c r="C52" s="4">
        <f>IF(C51-E51+H51-(C51*($C$9+$I$9))+(B51*($B$9))&lt;0,0,C51-E51+H51-(C51*($C$9+$I$9))+(B51*($B$9)))</f>
        <v>138.68079306839999</v>
      </c>
      <c r="D52" s="4">
        <f>$D$10*B52</f>
        <v>7.8316079497920006</v>
      </c>
      <c r="E52" s="4">
        <f>$E$10*C52</f>
        <v>20.80211896026</v>
      </c>
      <c r="F52" s="4">
        <f t="shared" si="24"/>
        <v>249.75119412421199</v>
      </c>
      <c r="G52" s="4">
        <f>$F$10*F51</f>
        <v>6.6335240164247997</v>
      </c>
      <c r="H52" s="4">
        <f>$G$10*F51</f>
        <v>11.055873360708</v>
      </c>
      <c r="I52" s="4">
        <f>$H$10*B52+$I$10*C52</f>
        <v>0.78316079497919999</v>
      </c>
      <c r="J52" s="4">
        <f t="shared" si="25"/>
        <v>0.78316079497919999</v>
      </c>
      <c r="K52" s="27">
        <f t="shared" si="23"/>
        <v>3.6090879362321005E-3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 spans="1:24" x14ac:dyDescent="0.25">
      <c r="A53" s="11" t="str">
        <f>$A$27</f>
        <v>Spring 26</v>
      </c>
      <c r="B53" s="4">
        <f>IF(B52-D52+G52-(B52*($B$10+$H$10))+(C52*($C$10))&lt;0,0,B52-D52+G52-(B52*($B$10+$H$10))+(C52*($C$10)))</f>
        <v>69.840733406954399</v>
      </c>
      <c r="C53" s="4">
        <f>IF(C52-E52+H52-(C52*($C$10+$I$10))+(B52*($B$10))&lt;0,0,C52-E52+H52-(C52*($C$10+$I$10))+(B52*($B$10)))</f>
        <v>135.4286488314672</v>
      </c>
      <c r="D53" s="4">
        <f>$D$11*B53</f>
        <v>6.9840733406954403</v>
      </c>
      <c r="E53" s="4">
        <f>$E$11*C53</f>
        <v>20.31429732472008</v>
      </c>
      <c r="F53" s="4">
        <f t="shared" si="24"/>
        <v>277.04956478962754</v>
      </c>
      <c r="G53" s="4">
        <f>$F$11*F52</f>
        <v>7.4925358237263593</v>
      </c>
      <c r="H53" s="4">
        <f>$G$11*F52</f>
        <v>12.4875597062106</v>
      </c>
      <c r="I53" s="4">
        <f>$H$11*B53+$I$11*C53</f>
        <v>1.3968146681390881</v>
      </c>
      <c r="J53" s="4">
        <f t="shared" si="25"/>
        <v>2.1799754631182879</v>
      </c>
      <c r="K53" s="27">
        <f t="shared" si="23"/>
        <v>1.0620071241731675E-2</v>
      </c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 spans="1:24" x14ac:dyDescent="0.25">
      <c r="A54" s="11" t="str">
        <f>$A$28</f>
        <v>Fall 26</v>
      </c>
      <c r="B54" s="4">
        <f>IF(B53-D53+G53-(B53*($B$11+$H$11))+(C53*($C$11))&lt;0,0,B53-D53+G53-(B53*($B$11+$H$11))+(C53*($C$11)))</f>
        <v>63.638248085115265</v>
      </c>
      <c r="C54" s="4">
        <f>IF(C53-E53+H53-(C53*($C$11+$I$11))+(B53*($B$11))&lt;0,0,C53-E53+H53-(C53*($C$11+$I$11))+(B53*($B$11)))</f>
        <v>132.91604434968869</v>
      </c>
      <c r="D54" s="4">
        <f>$D$12*B54</f>
        <v>6.3638248085115272</v>
      </c>
      <c r="E54" s="4">
        <f>$E$12*C54</f>
        <v>19.937406652453301</v>
      </c>
      <c r="F54" s="4">
        <f t="shared" si="24"/>
        <v>303.3507962505924</v>
      </c>
      <c r="G54" s="4">
        <f>$F$12*F53</f>
        <v>8.3114869436888252</v>
      </c>
      <c r="H54" s="4">
        <f>$G$12*F53</f>
        <v>13.852478239481378</v>
      </c>
      <c r="I54" s="4">
        <f>$H$12*B54+$I$12*C54</f>
        <v>9.545737212767289</v>
      </c>
      <c r="J54" s="4">
        <f t="shared" si="25"/>
        <v>11.725712675885577</v>
      </c>
      <c r="K54" s="27">
        <f t="shared" si="23"/>
        <v>5.9656355150701862E-2</v>
      </c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x14ac:dyDescent="0.25">
      <c r="A55" s="11" t="str">
        <f>$A$29</f>
        <v>Spring 27</v>
      </c>
      <c r="B55" s="4">
        <f>IF(B54-D54+G54-(B54*($B$12+$H$12))+(C54*($C$12))&lt;0,0,B54-D54+G54-(B54*($B$12+$H$12))+(C54*($C$12)))</f>
        <v>51.513067978661859</v>
      </c>
      <c r="C55" s="4">
        <f>IF(C54-E54+H54-(C54*($C$12+$I$12))+(B54*($B$12))&lt;0,0,C54-E54+H54-(C54*($C$12+$I$12))+(B54*($B$12)))</f>
        <v>131.35822096558019</v>
      </c>
      <c r="D55" s="4">
        <f>$D$13*B55</f>
        <v>5.1513067978661864</v>
      </c>
      <c r="E55" s="4">
        <f>$E$13*C55</f>
        <v>19.703733144837027</v>
      </c>
      <c r="F55" s="4">
        <f t="shared" si="24"/>
        <v>328.20583619329562</v>
      </c>
      <c r="G55" s="4">
        <f>$F$13*F54</f>
        <v>9.1005238875177721</v>
      </c>
      <c r="H55" s="4">
        <f>$G$13*F54</f>
        <v>15.16753981252962</v>
      </c>
      <c r="I55" s="4">
        <f>$H$13*B55+$I$13*C55</f>
        <v>7.7269601967992783</v>
      </c>
      <c r="J55" s="4">
        <f t="shared" si="25"/>
        <v>19.452672872684854</v>
      </c>
      <c r="K55" s="27">
        <f t="shared" si="23"/>
        <v>0.1063735755622963</v>
      </c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 spans="1:24" x14ac:dyDescent="0.25">
      <c r="A56" s="87"/>
      <c r="B56" s="4">
        <f>IF(B55-D55+G55-(B55*($B$13+$H$13))+(C55*($C$13))&lt;0,0,B55-D55+G55-(B55*($B$13+$H$13))+(C55*($C$13)))</f>
        <v>45.932357254260253</v>
      </c>
      <c r="C56" s="4">
        <f>IF(C55-E55+H55-(C55*($C$13+$I$13))+(B55*($B$13))&lt;0,0,C55-E55+H55-(C55*($C$13+$I$13))+(B55*($B$13)))</f>
        <v>128.62499525052669</v>
      </c>
      <c r="D56" s="4">
        <f>$D$14*B56</f>
        <v>4.5932357254260259</v>
      </c>
      <c r="E56" s="4">
        <f>$E$14*C56</f>
        <v>19.293749287579004</v>
      </c>
      <c r="F56" s="4">
        <f t="shared" si="24"/>
        <v>352.09282120630064</v>
      </c>
      <c r="G56" s="4">
        <f>$F$14*F55</f>
        <v>9.846175085798869</v>
      </c>
      <c r="H56" s="4">
        <f>$G$14*F55</f>
        <v>16.410291809664781</v>
      </c>
      <c r="I56" s="4">
        <f>$H$14*B56+$I$14*C56</f>
        <v>10.748603445654838</v>
      </c>
      <c r="J56" s="4">
        <f t="shared" si="25"/>
        <v>30.201276318339694</v>
      </c>
      <c r="K56" s="27">
        <f t="shared" si="23"/>
        <v>0.17301635184637368</v>
      </c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 x14ac:dyDescent="0.25">
      <c r="A57" s="87"/>
      <c r="B57" s="4">
        <f>IF(B56-D56+G56-(B56*($B$13+$H$13))+(C56*($C$13))&lt;0,0,B56-D56+G56-(B56*($B$13+$H$13))+(C56*($C$13)))</f>
        <v>43.83755894781126</v>
      </c>
      <c r="C57" s="4">
        <f>IF(C56-E56+H56-(C56*($C$14+$I$14))+(B56*($B$14))&lt;0,0,C56-E56+H56-(C56*($C$14+$I$14))+(B56*($B$14)))</f>
        <v>122.79999556632208</v>
      </c>
      <c r="D57" s="4">
        <f>$D$15*B57</f>
        <v>4.3837558947811264</v>
      </c>
      <c r="E57" s="4">
        <f>$E$15*C57</f>
        <v>18.419999334948312</v>
      </c>
      <c r="F57" s="4">
        <f t="shared" si="24"/>
        <v>374.8965764360301</v>
      </c>
      <c r="G57" s="4">
        <f>$F$15*F56</f>
        <v>10.562784636189019</v>
      </c>
      <c r="H57" s="4">
        <f>$G$15*F56</f>
        <v>17.604641060315032</v>
      </c>
      <c r="I57" s="4">
        <f>$H$15*B57+$I$15*C57</f>
        <v>11.487633664824571</v>
      </c>
      <c r="J57" s="4">
        <f t="shared" si="25"/>
        <v>41.688909983164265</v>
      </c>
      <c r="K57" s="27">
        <f t="shared" si="23"/>
        <v>0.25017715907267724</v>
      </c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 spans="1:24" x14ac:dyDescent="0.25">
      <c r="A58" s="7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9" t="s">
        <v>126</v>
      </c>
      <c r="M58" s="8"/>
      <c r="N58" s="9" t="str">
        <f>"Coninuing Since  "&amp;$A$18</f>
        <v>Coninuing Since  New Fall 21</v>
      </c>
      <c r="O58" s="8"/>
      <c r="P58" s="8"/>
      <c r="Q58" s="11" t="s">
        <v>127</v>
      </c>
      <c r="R58" s="13"/>
      <c r="S58" s="13"/>
      <c r="T58" s="13"/>
      <c r="U58" s="13"/>
      <c r="V58" s="13"/>
      <c r="W58" s="13"/>
      <c r="X58" s="13"/>
    </row>
    <row r="59" spans="1:24" x14ac:dyDescent="0.25">
      <c r="A59" s="11" t="str">
        <f>$A$17</f>
        <v>Semester</v>
      </c>
      <c r="B59" s="12" t="s">
        <v>82</v>
      </c>
      <c r="C59" s="12" t="s">
        <v>83</v>
      </c>
      <c r="D59" s="12" t="s">
        <v>93</v>
      </c>
      <c r="E59" s="12" t="s">
        <v>92</v>
      </c>
      <c r="F59" s="12" t="s">
        <v>84</v>
      </c>
      <c r="G59" s="12" t="s">
        <v>94</v>
      </c>
      <c r="H59" s="12" t="s">
        <v>95</v>
      </c>
      <c r="I59" s="12" t="s">
        <v>81</v>
      </c>
      <c r="J59" s="12" t="s">
        <v>85</v>
      </c>
      <c r="K59" s="12" t="s">
        <v>96</v>
      </c>
      <c r="L59" s="12" t="s">
        <v>100</v>
      </c>
      <c r="M59" s="12" t="s">
        <v>101</v>
      </c>
      <c r="N59" s="12" t="s">
        <v>100</v>
      </c>
      <c r="O59" s="12" t="s">
        <v>101</v>
      </c>
      <c r="P59" s="12" t="s">
        <v>100</v>
      </c>
      <c r="Q59" s="12" t="s">
        <v>101</v>
      </c>
      <c r="R59" s="13"/>
      <c r="S59" s="13"/>
      <c r="T59" s="13"/>
      <c r="U59" s="13"/>
      <c r="V59" s="13"/>
      <c r="W59" s="13"/>
      <c r="X59" s="13"/>
    </row>
    <row r="60" spans="1:24" x14ac:dyDescent="0.25">
      <c r="A60" s="11" t="str">
        <f>"New "&amp;$A$21</f>
        <v>New Spring 23</v>
      </c>
      <c r="B60" s="80">
        <f>Enrollment!F3</f>
        <v>126.72000000000001</v>
      </c>
      <c r="C60" s="80">
        <f>Enrollment!F5</f>
        <v>31.680000000000003</v>
      </c>
      <c r="D60" s="4">
        <f>$D$4*B60</f>
        <v>12.672000000000002</v>
      </c>
      <c r="E60" s="4">
        <f>$E$4*C60</f>
        <v>4.7520000000000007</v>
      </c>
      <c r="F60" s="4">
        <f>D60+E60</f>
        <v>17.424000000000003</v>
      </c>
      <c r="G60" s="4">
        <v>0</v>
      </c>
      <c r="H60" s="4">
        <v>0</v>
      </c>
      <c r="I60" s="4">
        <f>$H$4*B60+$I$4*C60</f>
        <v>0</v>
      </c>
      <c r="J60" s="4">
        <f>I60</f>
        <v>0</v>
      </c>
      <c r="K60" s="27">
        <f>J60/(B60+C60)</f>
        <v>0</v>
      </c>
      <c r="L60" s="4">
        <f>L179</f>
        <v>569.80179795281776</v>
      </c>
      <c r="M60" s="4">
        <f>M179</f>
        <v>1114.9811423853403</v>
      </c>
      <c r="N60" s="6">
        <f>B47+B34+B21</f>
        <v>432.40959999999995</v>
      </c>
      <c r="O60" s="6">
        <f>C47+C34+C21</f>
        <v>327.3664</v>
      </c>
      <c r="P60" s="6">
        <f>L60+N60</f>
        <v>1002.2113979528177</v>
      </c>
      <c r="Q60" s="6">
        <f>M60+O60</f>
        <v>1442.3475423853401</v>
      </c>
      <c r="R60" s="13"/>
      <c r="S60" s="13"/>
      <c r="T60" s="13"/>
      <c r="U60" s="13"/>
      <c r="V60" s="13"/>
      <c r="W60" s="13"/>
      <c r="X60" s="13"/>
    </row>
    <row r="61" spans="1:24" x14ac:dyDescent="0.25">
      <c r="A61" s="11" t="str">
        <f>$A$22</f>
        <v>Fall 23</v>
      </c>
      <c r="B61" s="4">
        <f>IF(B60-D60+G60-(B60*($B$4+$H$4))+(C60*($C$4))&lt;0,0,B60-D60+G60-(B60*($B$4+$H$4))+(C60*($C$4)))</f>
        <v>91.872000000000014</v>
      </c>
      <c r="C61" s="4">
        <f>IF(C60-E60+H60-(C60*($C$4+$I$4))+(B60*($B$4))&lt;0,0,C60-E60+H60-(C60*($C$4+$I$4))+(B60*($B$4)))</f>
        <v>49.104000000000013</v>
      </c>
      <c r="D61" s="4">
        <f>$D$5*B61</f>
        <v>9.1872000000000025</v>
      </c>
      <c r="E61" s="4">
        <f>$E$5*C61</f>
        <v>7.3656000000000015</v>
      </c>
      <c r="F61" s="4">
        <f>F60+D61+E61</f>
        <v>33.976800000000004</v>
      </c>
      <c r="G61" s="4">
        <f>$F$5*F60</f>
        <v>0.17424000000000003</v>
      </c>
      <c r="H61" s="4">
        <f>$G$5*F60</f>
        <v>0.34848000000000007</v>
      </c>
      <c r="I61" s="4">
        <f>$H$5*B61+$I$5*C61</f>
        <v>0</v>
      </c>
      <c r="J61" s="4">
        <f>J60+I61</f>
        <v>0</v>
      </c>
      <c r="K61" s="27">
        <f t="shared" ref="K61:K71" si="26">J61/(B61+C61)</f>
        <v>0</v>
      </c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 spans="1:24" x14ac:dyDescent="0.25">
      <c r="A62" s="11" t="str">
        <f>$A$23</f>
        <v>Spring 24</v>
      </c>
      <c r="B62" s="4">
        <f>IF(B61-D61+G61-(B61*($B$5+$H$5))+(C61*($C$5))&lt;0,0,B61-D61+G61-(B61*($B$5+$H$5))+(C61*($C$5)))</f>
        <v>68.476320000000001</v>
      </c>
      <c r="C62" s="4">
        <f>IF(C61-E61+H61-(C61*($C$5+$I$5))+(B61*($B$5))&lt;0,0,C61-E61+H61-(C61*($C$5+$I$5))+(B61*($B$5)))</f>
        <v>56.469600000000014</v>
      </c>
      <c r="D62" s="4">
        <f>$D$6*B62</f>
        <v>6.8476320000000008</v>
      </c>
      <c r="E62" s="4">
        <f>$E$6*C62</f>
        <v>8.4704400000000017</v>
      </c>
      <c r="F62" s="4">
        <f t="shared" ref="F62:F71" si="27">F61+D62+E62</f>
        <v>49.294872000000005</v>
      </c>
      <c r="G62" s="4">
        <f>$F$6*F61</f>
        <v>0.67953600000000014</v>
      </c>
      <c r="H62" s="4">
        <f>$G$6*F61</f>
        <v>1.019304</v>
      </c>
      <c r="I62" s="4">
        <f>$H$6*B62+$I$6*C62</f>
        <v>0</v>
      </c>
      <c r="J62" s="4">
        <f t="shared" ref="J62:J71" si="28">J61+I62</f>
        <v>0</v>
      </c>
      <c r="K62" s="27">
        <f t="shared" si="26"/>
        <v>0</v>
      </c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 spans="1:24" x14ac:dyDescent="0.25">
      <c r="A63" s="11" t="str">
        <f>$A$24</f>
        <v>Fall 24</v>
      </c>
      <c r="B63" s="4">
        <f>IF(B62-D62+G62-(B62*($B$6+$H$6))+(C62*($C$6))&lt;0,0,B62-D62+G62-(B62*($B$6+$H$6))+(C62*($C$6)))</f>
        <v>52.890393599999996</v>
      </c>
      <c r="C63" s="4">
        <f>IF(C62-E62+H62-(C62*($C$6+$I$6))+(B62*($B$6))&lt;0,0,C62-E62+H62-(C62*($C$6+$I$6))+(B62*($B$6)))</f>
        <v>58.436294400000008</v>
      </c>
      <c r="D63" s="4">
        <f>$D$7*B63</f>
        <v>5.2890393600000003</v>
      </c>
      <c r="E63" s="4">
        <f>$E$7*C63</f>
        <v>8.7654441600000013</v>
      </c>
      <c r="F63" s="4">
        <f t="shared" si="27"/>
        <v>63.349355520000003</v>
      </c>
      <c r="G63" s="4">
        <f>$F$7*F62</f>
        <v>1.47884616</v>
      </c>
      <c r="H63" s="4">
        <f>$G$7*F62</f>
        <v>1.9717948800000002</v>
      </c>
      <c r="I63" s="4">
        <f>$H$7*B63+$I$7*C63</f>
        <v>0</v>
      </c>
      <c r="J63" s="4">
        <f t="shared" si="28"/>
        <v>0</v>
      </c>
      <c r="K63" s="27">
        <f t="shared" si="26"/>
        <v>0</v>
      </c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 spans="1:24" x14ac:dyDescent="0.25">
      <c r="A64" s="11" t="str">
        <f>$A$25</f>
        <v>Spring 25</v>
      </c>
      <c r="B64" s="4">
        <f>IF(B63-D63+G63-(B63*($B$7+$H$7))+(C63*($C$7))&lt;0,0,B63-D63+G63-(B63*($B$7+$H$7))+(C63*($C$7)))</f>
        <v>42.759039311999999</v>
      </c>
      <c r="C64" s="4">
        <f>IF(C63-E63+H63-(C63*($C$7+$I$7))+(B63*($B$7))&lt;0,0,C63-E63+H63-(C63*($C$7+$I$7))+(B63*($B$7)))</f>
        <v>57.963806208000001</v>
      </c>
      <c r="D64" s="4">
        <f>$D$8*B64</f>
        <v>4.2759039312000002</v>
      </c>
      <c r="E64" s="4">
        <f>$E$8*C64</f>
        <v>8.6945709311999995</v>
      </c>
      <c r="F64" s="4">
        <f t="shared" si="27"/>
        <v>76.319830382400013</v>
      </c>
      <c r="G64" s="4">
        <f>$F$8*F63</f>
        <v>1.9004806656</v>
      </c>
      <c r="H64" s="4">
        <f>$G$8*F63</f>
        <v>3.1674677760000005</v>
      </c>
      <c r="I64" s="4">
        <f>$H$8*B64+$I$8*C64</f>
        <v>0</v>
      </c>
      <c r="J64" s="4">
        <f t="shared" si="28"/>
        <v>0</v>
      </c>
      <c r="K64" s="27">
        <f t="shared" si="26"/>
        <v>0</v>
      </c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 spans="1:24" x14ac:dyDescent="0.25">
      <c r="A65" s="11" t="str">
        <f>$A$26</f>
        <v>Fall 25</v>
      </c>
      <c r="B65" s="4">
        <f>IF(B64-D64+G64-(B64*($B$8+$H$8))+(C64*($C$8))&lt;0,0,B64-D64+G64-(B64*($B$8+$H$8))+(C64*($C$8)))</f>
        <v>35.917827232320001</v>
      </c>
      <c r="C65" s="4">
        <f>IF(C64-E64+H64-(C64*($C$8+$I$8))+(B64*($B$8))&lt;0,0,C64-E64+H64-(C64*($C$8+$I$8))+(B64*($B$8)))</f>
        <v>56.902491866880005</v>
      </c>
      <c r="D65" s="4">
        <f>$D$9*B65</f>
        <v>3.5917827232320003</v>
      </c>
      <c r="E65" s="4">
        <f>$E$9*C65</f>
        <v>8.5353737800319998</v>
      </c>
      <c r="F65" s="4">
        <f t="shared" si="27"/>
        <v>88.446986885664018</v>
      </c>
      <c r="G65" s="4">
        <f>$F$9*F64</f>
        <v>2.2895949114720002</v>
      </c>
      <c r="H65" s="4">
        <f>$G$9*F64</f>
        <v>3.8159915191200007</v>
      </c>
      <c r="I65" s="4">
        <f>$H$9*B65+$I$9*C65</f>
        <v>0</v>
      </c>
      <c r="J65" s="4">
        <f t="shared" si="28"/>
        <v>0</v>
      </c>
      <c r="K65" s="27">
        <f t="shared" si="26"/>
        <v>0</v>
      </c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</row>
    <row r="66" spans="1:24" x14ac:dyDescent="0.25">
      <c r="A66" s="11" t="str">
        <f>$A$27</f>
        <v>Spring 26</v>
      </c>
      <c r="B66" s="4">
        <f>IF(B65-D65+G65-(B65*($B$9+$H$9))+(C65*($C$9))&lt;0,0,B65-D65+G65-(B65*($B$9+$H$9))+(C65*($C$9)))</f>
        <v>31.326431799167999</v>
      </c>
      <c r="C66" s="4">
        <f>IF(C65-E65+H65-(C65*($C$9+$I$9))+(B65*($B$9))&lt;0,0,C65-E65+H65-(C65*($C$9+$I$9))+(B65*($B$9)))</f>
        <v>55.472317227360016</v>
      </c>
      <c r="D66" s="4">
        <f>$D$10*B66</f>
        <v>3.1326431799168</v>
      </c>
      <c r="E66" s="4">
        <f>$E$10*C66</f>
        <v>8.3208475841040013</v>
      </c>
      <c r="F66" s="4">
        <f t="shared" si="27"/>
        <v>99.900477649684817</v>
      </c>
      <c r="G66" s="4">
        <f>$F$10*F65</f>
        <v>2.6534096065699204</v>
      </c>
      <c r="H66" s="4">
        <f>$G$10*F65</f>
        <v>4.4223493442832007</v>
      </c>
      <c r="I66" s="4">
        <f>$H$10*B66+$I$10*C66</f>
        <v>0.31326431799167997</v>
      </c>
      <c r="J66" s="4">
        <f t="shared" si="28"/>
        <v>0.31326431799167997</v>
      </c>
      <c r="K66" s="27">
        <f t="shared" si="26"/>
        <v>3.6090879362320996E-3</v>
      </c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</row>
    <row r="67" spans="1:24" x14ac:dyDescent="0.25">
      <c r="A67" s="11" t="str">
        <f>$A$28</f>
        <v>Fall 26</v>
      </c>
      <c r="B67" s="4">
        <f>IF(B66-D66+G66-(B66*($B$10+$H$10))+(C66*($C$10))&lt;0,0,B66-D66+G66-(B66*($B$10+$H$10))+(C66*($C$10)))</f>
        <v>27.936293362781758</v>
      </c>
      <c r="C67" s="4">
        <f>IF(C66-E66+H66-(C66*($C$10+$I$10))+(B66*($B$10))&lt;0,0,C66-E66+H66-(C66*($C$10+$I$10))+(B66*($B$10)))</f>
        <v>54.171459532586894</v>
      </c>
      <c r="D67" s="4">
        <f>$D$11*B67</f>
        <v>2.7936293362781761</v>
      </c>
      <c r="E67" s="4">
        <f>$E$11*C67</f>
        <v>8.1257189298880341</v>
      </c>
      <c r="F67" s="4">
        <f t="shared" si="27"/>
        <v>110.81982591585103</v>
      </c>
      <c r="G67" s="4">
        <f>$F$11*F66</f>
        <v>2.9970143294905442</v>
      </c>
      <c r="H67" s="4">
        <f>$G$11*F66</f>
        <v>4.995023882484241</v>
      </c>
      <c r="I67" s="4">
        <f>$H$11*B67+$I$11*C67</f>
        <v>0.55872586725563511</v>
      </c>
      <c r="J67" s="4">
        <f t="shared" si="28"/>
        <v>0.87199018524731509</v>
      </c>
      <c r="K67" s="27">
        <f t="shared" si="26"/>
        <v>1.0620071241731673E-2</v>
      </c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</row>
    <row r="68" spans="1:24" x14ac:dyDescent="0.25">
      <c r="A68" s="11" t="str">
        <f>$A$29</f>
        <v>Spring 27</v>
      </c>
      <c r="B68" s="4">
        <f>IF(B67-D67+G67-(B67*($B$11+$H$11))+(C67*($C$11))&lt;0,0,B67-D67+G67-(B67*($B$11+$H$11))+(C67*($C$11)))</f>
        <v>25.455299234046102</v>
      </c>
      <c r="C68" s="4">
        <f>IF(C67-E67+H67-(C67*($C$11+$I$11))+(B67*($B$11))&lt;0,0,C67-E67+H67-(C67*($C$11+$I$11))+(B67*($B$11)))</f>
        <v>53.166417739875484</v>
      </c>
      <c r="D68" s="4">
        <f>$D$12*B68</f>
        <v>2.5455299234046103</v>
      </c>
      <c r="E68" s="4">
        <f>$E$12*C68</f>
        <v>7.9749626609813227</v>
      </c>
      <c r="F68" s="4">
        <f t="shared" si="27"/>
        <v>121.34031850023696</v>
      </c>
      <c r="G68" s="4">
        <f>$F$12*F67</f>
        <v>3.3245947774755309</v>
      </c>
      <c r="H68" s="4">
        <f>$G$12*F67</f>
        <v>5.5409912957925513</v>
      </c>
      <c r="I68" s="4">
        <f>$H$12*B68+$I$12*C68</f>
        <v>3.8182948851069152</v>
      </c>
      <c r="J68" s="4">
        <f t="shared" si="28"/>
        <v>4.6902850703542303</v>
      </c>
      <c r="K68" s="27">
        <f t="shared" si="26"/>
        <v>5.9656355150701848E-2</v>
      </c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 spans="1:24" x14ac:dyDescent="0.25">
      <c r="A69" s="87"/>
      <c r="B69" s="4">
        <f>IF(B68-D68+G68-(B68*($B$12+$H$12))+(C68*($C$12))&lt;0,0,B68-D68+G68-(B68*($B$12+$H$12))+(C68*($C$12)))</f>
        <v>20.605227191464746</v>
      </c>
      <c r="C69" s="4">
        <f>IF(C68-E68+H68-(C68*($C$12+$I$12))+(B68*($B$12))&lt;0,0,C68-E68+H68-(C68*($C$12+$I$12))+(B68*($B$12)))</f>
        <v>52.543288386232078</v>
      </c>
      <c r="D69" s="4">
        <f>$D$13*B69</f>
        <v>2.0605227191464746</v>
      </c>
      <c r="E69" s="4">
        <f>$E$13*C69</f>
        <v>7.8814932579348111</v>
      </c>
      <c r="F69" s="4">
        <f t="shared" si="27"/>
        <v>131.28233447731824</v>
      </c>
      <c r="G69" s="4">
        <f>$F$13*F68</f>
        <v>3.6402095550071087</v>
      </c>
      <c r="H69" s="4">
        <f>$G$13*F68</f>
        <v>6.0670159250118481</v>
      </c>
      <c r="I69" s="4">
        <f>$H$13*B69+$I$13*C69</f>
        <v>3.0907840787197118</v>
      </c>
      <c r="J69" s="4">
        <f t="shared" si="28"/>
        <v>7.7810691490739421</v>
      </c>
      <c r="K69" s="27">
        <f t="shared" si="26"/>
        <v>0.1063735755622963</v>
      </c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</row>
    <row r="70" spans="1:24" x14ac:dyDescent="0.25">
      <c r="A70" s="87"/>
      <c r="B70" s="4">
        <f>IF(B69-D69+G69-(B69*($B$13+$H$13))+(C69*($C$13))&lt;0,0,B69-D69+G69-(B69*($B$13+$H$13))+(C69*($C$13)))</f>
        <v>18.3729429017041</v>
      </c>
      <c r="C70" s="4">
        <f>IF(C69-E69+H69-(C69*($C$13+$I$13))+(B69*($B$13))&lt;0,0,C69-E69+H69-(C69*($C$13+$I$13))+(B69*($B$13)))</f>
        <v>51.449998100210685</v>
      </c>
      <c r="D70" s="4">
        <f>$D$14*B70</f>
        <v>1.8372942901704101</v>
      </c>
      <c r="E70" s="4">
        <f>$E$14*C70</f>
        <v>7.717499715031602</v>
      </c>
      <c r="F70" s="4">
        <f t="shared" si="27"/>
        <v>140.83712848252026</v>
      </c>
      <c r="G70" s="4">
        <f>$F$14*F69</f>
        <v>3.9384700343195473</v>
      </c>
      <c r="H70" s="4">
        <f>$G$14*F69</f>
        <v>6.5641167238659124</v>
      </c>
      <c r="I70" s="4">
        <f>$H$14*B70+$I$14*C70</f>
        <v>4.2994413782619354</v>
      </c>
      <c r="J70" s="4">
        <f t="shared" si="28"/>
        <v>12.080510527335878</v>
      </c>
      <c r="K70" s="27">
        <f t="shared" si="26"/>
        <v>0.17301635184637365</v>
      </c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</row>
    <row r="71" spans="1:24" x14ac:dyDescent="0.25">
      <c r="A71" s="87"/>
      <c r="B71" s="4">
        <f>IF(B70-D70+G70-(B70*($B$13+$H$13))+(C70*($C$13))&lt;0,0,B70-D70+G70-(B70*($B$13+$H$13))+(C70*($C$13)))</f>
        <v>17.535023579124505</v>
      </c>
      <c r="C71" s="4">
        <f>IF(C70-E70+H70-(C70*($C$14+$I$14))+(B70*($B$14))&lt;0,0,C70-E70+H70-(C70*($C$14+$I$14))+(B70*($B$14)))</f>
        <v>49.119998226528843</v>
      </c>
      <c r="D71" s="4">
        <f>$D$15*B71</f>
        <v>1.7535023579124507</v>
      </c>
      <c r="E71" s="4">
        <f>$E$15*C71</f>
        <v>7.3679997339793264</v>
      </c>
      <c r="F71" s="4">
        <f t="shared" si="27"/>
        <v>149.95863057441204</v>
      </c>
      <c r="G71" s="4">
        <f>$F$15*F70</f>
        <v>4.2251138544756079</v>
      </c>
      <c r="H71" s="4">
        <f>$G$15*F70</f>
        <v>7.0418564241260135</v>
      </c>
      <c r="I71" s="4">
        <f>$H$15*B71+$I$15*C71</f>
        <v>4.5950534659298299</v>
      </c>
      <c r="J71" s="4">
        <f t="shared" si="28"/>
        <v>16.675563993265708</v>
      </c>
      <c r="K71" s="27">
        <f t="shared" si="26"/>
        <v>0.25017715907267724</v>
      </c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</row>
    <row r="72" spans="1:24" x14ac:dyDescent="0.25">
      <c r="A72" s="87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9" t="s">
        <v>126</v>
      </c>
      <c r="M72" s="8"/>
      <c r="N72" s="9" t="str">
        <f>"Coninuing Since  "&amp;$A$18</f>
        <v>Coninuing Since  New Fall 21</v>
      </c>
      <c r="O72" s="8"/>
      <c r="P72" s="8"/>
      <c r="Q72" s="11" t="s">
        <v>127</v>
      </c>
      <c r="R72" s="13"/>
      <c r="S72" s="13"/>
      <c r="T72" s="13"/>
      <c r="U72" s="13"/>
      <c r="V72" s="13"/>
      <c r="W72" s="13"/>
      <c r="X72" s="13"/>
    </row>
    <row r="73" spans="1:24" x14ac:dyDescent="0.25">
      <c r="A73" s="11" t="str">
        <f>$A$17</f>
        <v>Semester</v>
      </c>
      <c r="B73" s="12" t="s">
        <v>82</v>
      </c>
      <c r="C73" s="12" t="s">
        <v>83</v>
      </c>
      <c r="D73" s="12" t="s">
        <v>93</v>
      </c>
      <c r="E73" s="12" t="s">
        <v>92</v>
      </c>
      <c r="F73" s="12" t="s">
        <v>84</v>
      </c>
      <c r="G73" s="12" t="s">
        <v>94</v>
      </c>
      <c r="H73" s="12" t="s">
        <v>95</v>
      </c>
      <c r="I73" s="12" t="s">
        <v>81</v>
      </c>
      <c r="J73" s="12" t="s">
        <v>85</v>
      </c>
      <c r="K73" s="12" t="s">
        <v>96</v>
      </c>
      <c r="L73" s="12" t="s">
        <v>100</v>
      </c>
      <c r="M73" s="12" t="s">
        <v>101</v>
      </c>
      <c r="N73" s="12" t="s">
        <v>100</v>
      </c>
      <c r="O73" s="12" t="s">
        <v>101</v>
      </c>
      <c r="P73" s="12" t="s">
        <v>100</v>
      </c>
      <c r="Q73" s="12" t="s">
        <v>101</v>
      </c>
      <c r="R73" s="13"/>
      <c r="S73" s="13"/>
      <c r="T73" s="13"/>
      <c r="U73" s="13"/>
      <c r="V73" s="13"/>
      <c r="W73" s="13"/>
      <c r="X73" s="13"/>
    </row>
    <row r="74" spans="1:24" x14ac:dyDescent="0.25">
      <c r="A74" s="11" t="str">
        <f>"New "&amp;$A$22</f>
        <v>New Fall 23</v>
      </c>
      <c r="B74" s="80">
        <f>Enrollment!G3</f>
        <v>313.63200000000001</v>
      </c>
      <c r="C74" s="80">
        <f>Enrollment!G5</f>
        <v>78.408000000000001</v>
      </c>
      <c r="D74" s="4">
        <f>$D$4*B74</f>
        <v>31.363200000000003</v>
      </c>
      <c r="E74" s="4">
        <f>$E$4*C74</f>
        <v>11.761200000000001</v>
      </c>
      <c r="F74" s="4">
        <f>D74+E74</f>
        <v>43.124400000000001</v>
      </c>
      <c r="G74" s="4">
        <v>0</v>
      </c>
      <c r="H74" s="4">
        <v>0</v>
      </c>
      <c r="I74" s="4">
        <f>$H$4*B74+$I$4*C74</f>
        <v>0</v>
      </c>
      <c r="J74" s="4">
        <f>I74</f>
        <v>0</v>
      </c>
      <c r="K74" s="27">
        <f>J74/(B74+C74)</f>
        <v>0</v>
      </c>
      <c r="L74" s="4">
        <f>L180</f>
        <v>458.87136695281771</v>
      </c>
      <c r="M74" s="4">
        <f>M180</f>
        <v>965.06509338534033</v>
      </c>
      <c r="N74" s="6">
        <f>B61+B48+B35+B22</f>
        <v>424.46481200000005</v>
      </c>
      <c r="O74" s="6">
        <f>C61+C48+C35+C22</f>
        <v>395.67780800000003</v>
      </c>
      <c r="P74" s="6">
        <f>L74+N74</f>
        <v>883.33617895281782</v>
      </c>
      <c r="Q74" s="6">
        <f>M74+O74</f>
        <v>1360.7429013853402</v>
      </c>
      <c r="R74" s="13"/>
      <c r="S74" s="13"/>
      <c r="T74" s="13"/>
      <c r="U74" s="13"/>
      <c r="V74" s="13"/>
      <c r="W74" s="13"/>
      <c r="X74" s="13"/>
    </row>
    <row r="75" spans="1:24" x14ac:dyDescent="0.25">
      <c r="A75" s="11" t="str">
        <f>$A$23</f>
        <v>Spring 24</v>
      </c>
      <c r="B75" s="4">
        <f>IF(B74-D74+G74-(B74*($B$4+$H$4))+(C74*($C$4))&lt;0,0,B74-D74+G74-(B74*($B$4+$H$4))+(C74*($C$4)))</f>
        <v>227.38319999999999</v>
      </c>
      <c r="C75" s="4">
        <f>IF(C74-E74+H74-(C74*($C$4+$I$4))+(B74*($B$4))&lt;0,0,C74-E74+H74-(C74*($C$4+$I$4))+(B74*($B$4)))</f>
        <v>121.5324</v>
      </c>
      <c r="D75" s="4">
        <f>$D$5*B75</f>
        <v>22.738320000000002</v>
      </c>
      <c r="E75" s="4">
        <f>$E$5*C75</f>
        <v>18.229859999999999</v>
      </c>
      <c r="F75" s="4">
        <f>F74+D75+E75</f>
        <v>84.092579999999998</v>
      </c>
      <c r="G75" s="4">
        <f>$F$5*F74</f>
        <v>0.43124400000000002</v>
      </c>
      <c r="H75" s="4">
        <f>$G$5*F74</f>
        <v>0.86248800000000003</v>
      </c>
      <c r="I75" s="4">
        <f>$H$5*B75+$I$5*C75</f>
        <v>0</v>
      </c>
      <c r="J75" s="4">
        <f>J74+I75</f>
        <v>0</v>
      </c>
      <c r="K75" s="27">
        <f t="shared" ref="K75:K85" si="29">J75/(B75+C75)</f>
        <v>0</v>
      </c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</row>
    <row r="76" spans="1:24" x14ac:dyDescent="0.25">
      <c r="A76" s="11" t="str">
        <f>$A$24</f>
        <v>Fall 24</v>
      </c>
      <c r="B76" s="4">
        <f>IF(B75-D75+G75-(B75*($B$5+$H$5))+(C75*($C$5))&lt;0,0,B75-D75+G75-(B75*($B$5+$H$5))+(C75*($C$5)))</f>
        <v>169.478892</v>
      </c>
      <c r="C76" s="4">
        <f>IF(C75-E75+H75-(C75*($C$5+$I$5))+(B75*($B$5))&lt;0,0,C75-E75+H75-(C75*($C$5+$I$5))+(B75*($B$5)))</f>
        <v>139.76226</v>
      </c>
      <c r="D76" s="4">
        <f>$D$6*B76</f>
        <v>16.947889200000002</v>
      </c>
      <c r="E76" s="4">
        <f>$E$6*C76</f>
        <v>20.964338999999999</v>
      </c>
      <c r="F76" s="4">
        <f t="shared" ref="F76:F85" si="30">F75+D76+E76</f>
        <v>122.0048082</v>
      </c>
      <c r="G76" s="4">
        <f>$F$6*F75</f>
        <v>1.6818515999999999</v>
      </c>
      <c r="H76" s="4">
        <f>$G$6*F75</f>
        <v>2.5227773999999998</v>
      </c>
      <c r="I76" s="4">
        <f>$H$6*B76+$I$6*C76</f>
        <v>0</v>
      </c>
      <c r="J76" s="4">
        <f t="shared" ref="J76:J85" si="31">J75+I76</f>
        <v>0</v>
      </c>
      <c r="K76" s="27">
        <f t="shared" si="29"/>
        <v>0</v>
      </c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</row>
    <row r="77" spans="1:24" x14ac:dyDescent="0.25">
      <c r="A77" s="11" t="str">
        <f>$A$25</f>
        <v>Spring 25</v>
      </c>
      <c r="B77" s="4">
        <f>IF(B76-D76+G76-(B76*($B$6+$H$6))+(C76*($C$6))&lt;0,0,B76-D76+G76-(B76*($B$6+$H$6))+(C76*($C$6)))</f>
        <v>130.90372416</v>
      </c>
      <c r="C77" s="4">
        <f>IF(C76-E76+H76-(C76*($C$6+$I$6))+(B76*($B$6))&lt;0,0,C76-E76+H76-(C76*($C$6+$I$6))+(B76*($B$6)))</f>
        <v>144.62982864</v>
      </c>
      <c r="D77" s="4">
        <f>$D$7*B77</f>
        <v>13.090372416000001</v>
      </c>
      <c r="E77" s="4">
        <f>$E$7*C77</f>
        <v>21.694474295999999</v>
      </c>
      <c r="F77" s="4">
        <f t="shared" si="30"/>
        <v>156.789654912</v>
      </c>
      <c r="G77" s="4">
        <f>$F$7*F76</f>
        <v>3.6601442459999998</v>
      </c>
      <c r="H77" s="4">
        <f>$G$7*F76</f>
        <v>4.8801923279999997</v>
      </c>
      <c r="I77" s="4">
        <f>$H$7*B77+$I$7*C77</f>
        <v>0</v>
      </c>
      <c r="J77" s="4">
        <f t="shared" si="31"/>
        <v>0</v>
      </c>
      <c r="K77" s="27">
        <f t="shared" si="29"/>
        <v>0</v>
      </c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</row>
    <row r="78" spans="1:24" x14ac:dyDescent="0.25">
      <c r="A78" s="11" t="str">
        <f>$A$26</f>
        <v>Fall 25</v>
      </c>
      <c r="B78" s="4">
        <f>IF(B77-D77+G77-(B77*($B$7+$H$7))+(C77*($C$7))&lt;0,0,B77-D77+G77-(B77*($B$7+$H$7))+(C77*($C$7)))</f>
        <v>105.82862229719998</v>
      </c>
      <c r="C78" s="4">
        <f>IF(C77-E77+H77-(C77*($C$7+$I$7))+(B77*($B$7))&lt;0,0,C77-E77+H77-(C77*($C$7+$I$7))+(B77*($B$7)))</f>
        <v>143.46042036480003</v>
      </c>
      <c r="D78" s="4">
        <f>$D$8*B78</f>
        <v>10.58286222972</v>
      </c>
      <c r="E78" s="4">
        <f>$E$8*C78</f>
        <v>21.519063054720004</v>
      </c>
      <c r="F78" s="4">
        <f t="shared" si="30"/>
        <v>188.89158019644</v>
      </c>
      <c r="G78" s="4">
        <f>$F$8*F77</f>
        <v>4.7036896473600001</v>
      </c>
      <c r="H78" s="4">
        <f>$G$8*F77</f>
        <v>7.8394827456000007</v>
      </c>
      <c r="I78" s="4">
        <f>$H$8*B78+$I$8*C78</f>
        <v>0</v>
      </c>
      <c r="J78" s="4">
        <f t="shared" si="31"/>
        <v>0</v>
      </c>
      <c r="K78" s="27">
        <f t="shared" si="29"/>
        <v>0</v>
      </c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</row>
    <row r="79" spans="1:24" x14ac:dyDescent="0.25">
      <c r="A79" s="11" t="str">
        <f>$A$27</f>
        <v>Spring 26</v>
      </c>
      <c r="B79" s="4">
        <f>IF(B78-D78+G78-(B78*($B$8+$H$8))+(C78*($C$8))&lt;0,0,B78-D78+G78-(B78*($B$8+$H$8))+(C78*($C$8)))</f>
        <v>88.896622399991983</v>
      </c>
      <c r="C79" s="4">
        <f>IF(C78-E78+H78-(C78*($C$8+$I$8))+(B78*($B$8))&lt;0,0,C78-E78+H78-(C78*($C$8+$I$8))+(B78*($B$8)))</f>
        <v>140.83366737052802</v>
      </c>
      <c r="D79" s="4">
        <f>$D$9*B79</f>
        <v>8.8896622399991987</v>
      </c>
      <c r="E79" s="4">
        <f>$E$9*C79</f>
        <v>21.125050105579202</v>
      </c>
      <c r="F79" s="4">
        <f t="shared" si="30"/>
        <v>218.90629254201841</v>
      </c>
      <c r="G79" s="4">
        <f>$F$9*F78</f>
        <v>5.6667474058931999</v>
      </c>
      <c r="H79" s="4">
        <f>$G$9*F78</f>
        <v>9.4445790098220002</v>
      </c>
      <c r="I79" s="4">
        <f>$H$9*B79+$I$9*C79</f>
        <v>0</v>
      </c>
      <c r="J79" s="4">
        <f t="shared" si="31"/>
        <v>0</v>
      </c>
      <c r="K79" s="27">
        <f t="shared" si="29"/>
        <v>0</v>
      </c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</row>
    <row r="80" spans="1:24" x14ac:dyDescent="0.25">
      <c r="A80" s="11" t="str">
        <f>$A$28</f>
        <v>Fall 26</v>
      </c>
      <c r="B80" s="4">
        <f>IF(B79-D79+G79-(B79*($B$9+$H$9))+(C79*($C$9))&lt;0,0,B79-D79+G79-(B79*($B$9+$H$9))+(C79*($C$9)))</f>
        <v>77.53291870294079</v>
      </c>
      <c r="C80" s="4">
        <f>IF(C79-E79+H79-(C79*($C$9+$I$9))+(B79*($B$9))&lt;0,0,C79-E79+H79-(C79*($C$9+$I$9))+(B79*($B$9)))</f>
        <v>137.29398513771599</v>
      </c>
      <c r="D80" s="4">
        <f>$D$10*B80</f>
        <v>7.7532918702940794</v>
      </c>
      <c r="E80" s="4">
        <f>$E$10*C80</f>
        <v>20.594097770657399</v>
      </c>
      <c r="F80" s="4">
        <f t="shared" si="30"/>
        <v>247.2536821829699</v>
      </c>
      <c r="G80" s="4">
        <f>$F$10*F79</f>
        <v>6.5671887762605516</v>
      </c>
      <c r="H80" s="4">
        <f>$G$10*F79</f>
        <v>10.94531462710092</v>
      </c>
      <c r="I80" s="4">
        <f>$H$10*B80+$I$10*C80</f>
        <v>0.7753291870294079</v>
      </c>
      <c r="J80" s="4">
        <f t="shared" si="31"/>
        <v>0.7753291870294079</v>
      </c>
      <c r="K80" s="27">
        <f t="shared" si="29"/>
        <v>3.6090879362321009E-3</v>
      </c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</row>
    <row r="81" spans="1:24" x14ac:dyDescent="0.25">
      <c r="A81" s="11" t="str">
        <f>$A$29</f>
        <v>Spring 27</v>
      </c>
      <c r="B81" s="4">
        <f>IF(B80-D80+G80-(B80*($B$10+$H$10))+(C80*($C$10))&lt;0,0,B80-D80+G80-(B80*($B$10+$H$10))+(C80*($C$10)))</f>
        <v>69.142326072884856</v>
      </c>
      <c r="C81" s="4">
        <f>IF(C80-E80+H80-(C80*($C$10+$I$10))+(B80*($B$10))&lt;0,0,C80-E80+H80-(C80*($C$10+$I$10))+(B80*($B$10)))</f>
        <v>134.07436234315253</v>
      </c>
      <c r="D81" s="4">
        <f>$D$11*B81</f>
        <v>6.9142326072884863</v>
      </c>
      <c r="E81" s="4">
        <f>$E$11*C81</f>
        <v>20.11115435147288</v>
      </c>
      <c r="F81" s="4">
        <f t="shared" si="30"/>
        <v>274.27906914173127</v>
      </c>
      <c r="G81" s="4">
        <f>$F$11*F80</f>
        <v>7.4176104654890969</v>
      </c>
      <c r="H81" s="4">
        <f>$G$11*F80</f>
        <v>12.362684109148496</v>
      </c>
      <c r="I81" s="4">
        <f>$H$11*B81+$I$11*C81</f>
        <v>1.382846521457697</v>
      </c>
      <c r="J81" s="4">
        <f t="shared" si="31"/>
        <v>2.1581757084871049</v>
      </c>
      <c r="K81" s="27">
        <f t="shared" si="29"/>
        <v>1.0620071241731675E-2</v>
      </c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</row>
    <row r="82" spans="1:24" x14ac:dyDescent="0.25">
      <c r="A82" s="87"/>
      <c r="B82" s="4">
        <f>IF(B81-D81+G81-(B81*($B$11+$H$11))+(C81*($C$11))&lt;0,0,B81-D81+G81-(B81*($B$11+$H$11))+(C81*($C$11)))</f>
        <v>63.001865604264111</v>
      </c>
      <c r="C82" s="4">
        <f>IF(C81-E81+H81-(C81*($C$11+$I$11))+(B81*($B$11))&lt;0,0,C81-E81+H81-(C81*($C$11+$I$11))+(B81*($B$11)))</f>
        <v>131.58688390619182</v>
      </c>
      <c r="D82" s="4">
        <f>$D$12*B82</f>
        <v>6.3001865604264111</v>
      </c>
      <c r="E82" s="4">
        <f>$E$12*C82</f>
        <v>19.738032585928771</v>
      </c>
      <c r="F82" s="4">
        <f t="shared" si="30"/>
        <v>300.31728828808644</v>
      </c>
      <c r="G82" s="4">
        <f>$F$12*F81</f>
        <v>8.2283720742519382</v>
      </c>
      <c r="H82" s="4">
        <f>$G$12*F81</f>
        <v>13.713953457086564</v>
      </c>
      <c r="I82" s="4">
        <f>$H$12*B82+$I$12*C82</f>
        <v>9.4502798406396167</v>
      </c>
      <c r="J82" s="4">
        <f t="shared" si="31"/>
        <v>11.608455549126722</v>
      </c>
      <c r="K82" s="27">
        <f t="shared" si="29"/>
        <v>5.9656355150701862E-2</v>
      </c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</row>
    <row r="83" spans="1:24" x14ac:dyDescent="0.25">
      <c r="A83" s="87"/>
      <c r="B83" s="4">
        <f>IF(B82-D82+G82-(B82*($B$12+$H$12))+(C82*($C$12))&lt;0,0,B82-D82+G82-(B82*($B$12+$H$12))+(C82*($C$12)))</f>
        <v>50.99793729887525</v>
      </c>
      <c r="C83" s="4">
        <f>IF(C82-E82+H82-(C82*($C$12+$I$12))+(B82*($B$12))&lt;0,0,C82-E82+H82-(C82*($C$12+$I$12))+(B82*($B$12)))</f>
        <v>130.04463875592435</v>
      </c>
      <c r="D83" s="4">
        <f>$D$13*B83</f>
        <v>5.0997937298875256</v>
      </c>
      <c r="E83" s="4">
        <f>$E$13*C83</f>
        <v>19.506695813388653</v>
      </c>
      <c r="F83" s="4">
        <f t="shared" si="30"/>
        <v>324.92377783136266</v>
      </c>
      <c r="G83" s="4">
        <f>$F$13*F82</f>
        <v>9.0095186486425938</v>
      </c>
      <c r="H83" s="4">
        <f>$G$13*F82</f>
        <v>15.015864414404323</v>
      </c>
      <c r="I83" s="4">
        <f>$H$13*B83+$I$13*C83</f>
        <v>7.649690594831287</v>
      </c>
      <c r="J83" s="4">
        <f t="shared" si="31"/>
        <v>19.258146143958008</v>
      </c>
      <c r="K83" s="27">
        <f t="shared" si="29"/>
        <v>0.10637357556229633</v>
      </c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 spans="1:24" x14ac:dyDescent="0.25">
      <c r="A84" s="87"/>
      <c r="B84" s="4">
        <f>IF(B83-D83+G83-(B83*($B$13+$H$13))+(C83*($C$13))&lt;0,0,B83-D83+G83-(B83*($B$13+$H$13))+(C83*($C$13)))</f>
        <v>45.473033681717645</v>
      </c>
      <c r="C84" s="4">
        <f>IF(C83-E83+H83-(C83*($C$13+$I$13))+(B83*($B$13))&lt;0,0,C83-E83+H83-(C83*($C$13+$I$13))+(B83*($B$13)))</f>
        <v>127.33874529802139</v>
      </c>
      <c r="D84" s="4">
        <f>$D$14*B84</f>
        <v>4.5473033681717645</v>
      </c>
      <c r="E84" s="4">
        <f>$E$14*C84</f>
        <v>19.100811794703208</v>
      </c>
      <c r="F84" s="4">
        <f t="shared" si="30"/>
        <v>348.5718929942376</v>
      </c>
      <c r="G84" s="4">
        <f>$F$14*F83</f>
        <v>9.7477133349408795</v>
      </c>
      <c r="H84" s="4">
        <f>$G$14*F83</f>
        <v>16.246188891568135</v>
      </c>
      <c r="I84" s="4">
        <f>$H$14*B84+$I$14*C84</f>
        <v>10.641117411198287</v>
      </c>
      <c r="J84" s="4">
        <f t="shared" si="31"/>
        <v>29.899263555156296</v>
      </c>
      <c r="K84" s="27">
        <f t="shared" si="29"/>
        <v>0.17301635184637368</v>
      </c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</row>
    <row r="85" spans="1:24" x14ac:dyDescent="0.25">
      <c r="A85" s="87"/>
      <c r="B85" s="4">
        <f>IF(B84-D84+G84-(B84*($B$13+$H$13))+(C84*($C$13))&lt;0,0,B84-D84+G84-(B84*($B$13+$H$13))+(C84*($C$13)))</f>
        <v>43.399183358333147</v>
      </c>
      <c r="C85" s="4">
        <f>IF(C84-E84+H84-(C84*($C$14+$I$14))+(B84*($B$14))&lt;0,0,C84-E84+H84-(C84*($C$14+$I$14))+(B84*($B$14)))</f>
        <v>121.57199561065883</v>
      </c>
      <c r="D85" s="4">
        <f>$D$15*B85</f>
        <v>4.3399183358333149</v>
      </c>
      <c r="E85" s="4">
        <f>$E$15*C85</f>
        <v>18.235799341598824</v>
      </c>
      <c r="F85" s="4">
        <f t="shared" si="30"/>
        <v>371.14761067166972</v>
      </c>
      <c r="G85" s="4">
        <f>$F$15*F84</f>
        <v>10.457156789827128</v>
      </c>
      <c r="H85" s="4">
        <f>$G$15*F84</f>
        <v>17.428594649711879</v>
      </c>
      <c r="I85" s="4">
        <f>$H$15*B85+$I$15*C85</f>
        <v>11.372757328176325</v>
      </c>
      <c r="J85" s="4">
        <f t="shared" si="31"/>
        <v>41.272020883332623</v>
      </c>
      <c r="K85" s="27">
        <f t="shared" si="29"/>
        <v>0.25017715907267729</v>
      </c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</row>
    <row r="86" spans="1:24" x14ac:dyDescent="0.25">
      <c r="A86" s="87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9" t="s">
        <v>126</v>
      </c>
      <c r="M86" s="8"/>
      <c r="N86" s="9" t="str">
        <f>"Coninuing Since  "&amp;$A$18</f>
        <v>Coninuing Since  New Fall 21</v>
      </c>
      <c r="O86" s="8"/>
      <c r="P86" s="8"/>
      <c r="Q86" s="11" t="s">
        <v>127</v>
      </c>
      <c r="R86" s="13"/>
      <c r="S86" s="13"/>
      <c r="T86" s="13"/>
      <c r="U86" s="13"/>
      <c r="V86" s="13"/>
      <c r="W86" s="13"/>
      <c r="X86" s="13"/>
    </row>
    <row r="87" spans="1:24" x14ac:dyDescent="0.25">
      <c r="A87" s="11" t="str">
        <f>$A$17</f>
        <v>Semester</v>
      </c>
      <c r="B87" s="12" t="s">
        <v>82</v>
      </c>
      <c r="C87" s="12" t="s">
        <v>83</v>
      </c>
      <c r="D87" s="12" t="s">
        <v>93</v>
      </c>
      <c r="E87" s="12" t="s">
        <v>92</v>
      </c>
      <c r="F87" s="12" t="s">
        <v>84</v>
      </c>
      <c r="G87" s="12" t="s">
        <v>94</v>
      </c>
      <c r="H87" s="12" t="s">
        <v>95</v>
      </c>
      <c r="I87" s="12" t="s">
        <v>81</v>
      </c>
      <c r="J87" s="12" t="s">
        <v>85</v>
      </c>
      <c r="K87" s="12" t="s">
        <v>96</v>
      </c>
      <c r="L87" s="12" t="s">
        <v>100</v>
      </c>
      <c r="M87" s="12" t="s">
        <v>101</v>
      </c>
      <c r="N87" s="12" t="s">
        <v>100</v>
      </c>
      <c r="O87" s="12" t="s">
        <v>101</v>
      </c>
      <c r="P87" s="12" t="s">
        <v>100</v>
      </c>
      <c r="Q87" s="12" t="s">
        <v>101</v>
      </c>
      <c r="R87" s="13"/>
      <c r="S87" s="13"/>
      <c r="T87" s="13"/>
      <c r="U87" s="13"/>
      <c r="V87" s="13"/>
      <c r="W87" s="13"/>
      <c r="X87" s="13"/>
    </row>
    <row r="88" spans="1:24" x14ac:dyDescent="0.25">
      <c r="A88" s="11" t="str">
        <f>"New "&amp;$A$23</f>
        <v>New Spring 24</v>
      </c>
      <c r="B88" s="80">
        <f>Enrollment!H3</f>
        <v>125.45280000000001</v>
      </c>
      <c r="C88" s="80">
        <f>Enrollment!H5</f>
        <v>31.363200000000003</v>
      </c>
      <c r="D88" s="4">
        <f>$D$4*B88</f>
        <v>12.545280000000002</v>
      </c>
      <c r="E88" s="4">
        <f>$E$4*C88</f>
        <v>4.7044800000000002</v>
      </c>
      <c r="F88" s="4">
        <f>D88+E88</f>
        <v>17.249760000000002</v>
      </c>
      <c r="G88" s="4">
        <v>0</v>
      </c>
      <c r="H88" s="4">
        <v>0</v>
      </c>
      <c r="I88" s="4">
        <f>$H$4*B88+$I$4*C88</f>
        <v>0</v>
      </c>
      <c r="J88" s="4">
        <f>I88</f>
        <v>0</v>
      </c>
      <c r="K88" s="27">
        <f>J88/(B88+C88)</f>
        <v>0</v>
      </c>
      <c r="L88" s="4">
        <f>L181</f>
        <v>365.75125954281771</v>
      </c>
      <c r="M88" s="4">
        <f>M181</f>
        <v>817.81405644534038</v>
      </c>
      <c r="N88" s="6">
        <f>B75+B62+B49+B36+B23</f>
        <v>561.97803671999998</v>
      </c>
      <c r="O88" s="6">
        <f>C75+C62+C49+C36+C23</f>
        <v>526.33519648000004</v>
      </c>
      <c r="P88" s="6">
        <f>L88+N88</f>
        <v>927.72929626281768</v>
      </c>
      <c r="Q88" s="6">
        <f>M88+O88</f>
        <v>1344.1492529253405</v>
      </c>
      <c r="R88" s="13"/>
      <c r="S88" s="13"/>
      <c r="T88" s="13"/>
      <c r="U88" s="13"/>
      <c r="V88" s="13"/>
      <c r="W88" s="13"/>
      <c r="X88" s="13"/>
    </row>
    <row r="89" spans="1:24" x14ac:dyDescent="0.25">
      <c r="A89" s="11" t="str">
        <f>$A$24</f>
        <v>Fall 24</v>
      </c>
      <c r="B89" s="4">
        <f>IF(B88-D88+G88-(B88*($B$4+$H$4))+(C88*($C$4))&lt;0,0,B88-D88+G88-(B88*($B$4+$H$4))+(C88*($C$4)))</f>
        <v>90.953279999999992</v>
      </c>
      <c r="C89" s="4">
        <f>IF(C88-E88+H88-(C88*($C$4+$I$4))+(B88*($B$4))&lt;0,0,C88-E88+H88-(C88*($C$4+$I$4))+(B88*($B$4)))</f>
        <v>48.612960000000001</v>
      </c>
      <c r="D89" s="4">
        <f>$D$5*B89</f>
        <v>9.0953280000000003</v>
      </c>
      <c r="E89" s="4">
        <f>$E$5*C89</f>
        <v>7.291944</v>
      </c>
      <c r="F89" s="4">
        <f>F88+D89+E89</f>
        <v>33.637032000000005</v>
      </c>
      <c r="G89" s="4">
        <f>$F$5*F88</f>
        <v>0.17249760000000003</v>
      </c>
      <c r="H89" s="4">
        <f>$G$5*F88</f>
        <v>0.34499520000000006</v>
      </c>
      <c r="I89" s="4">
        <f>$H$5*B89+$I$5*C89</f>
        <v>0</v>
      </c>
      <c r="J89" s="4">
        <f>J88+I89</f>
        <v>0</v>
      </c>
      <c r="K89" s="27">
        <f t="shared" ref="K89:K99" si="32">J89/(B89+C89)</f>
        <v>0</v>
      </c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 spans="1:24" x14ac:dyDescent="0.25">
      <c r="A90" s="11" t="str">
        <f>$A$25</f>
        <v>Spring 25</v>
      </c>
      <c r="B90" s="4">
        <f>IF(B89-D89+G89-(B89*($B$5+$H$5))+(C89*($C$5))&lt;0,0,B89-D89+G89-(B89*($B$5+$H$5))+(C89*($C$5)))</f>
        <v>67.791556799999995</v>
      </c>
      <c r="C90" s="4">
        <f>IF(C89-E89+H89-(C89*($C$5+$I$5))+(B89*($B$5))&lt;0,0,C89-E89+H89-(C89*($C$5+$I$5))+(B89*($B$5)))</f>
        <v>55.904903999999995</v>
      </c>
      <c r="D90" s="4">
        <f>$D$6*B90</f>
        <v>6.7791556799999997</v>
      </c>
      <c r="E90" s="4">
        <f>$E$6*C90</f>
        <v>8.3857355999999985</v>
      </c>
      <c r="F90" s="4">
        <f t="shared" ref="F90:F99" si="33">F89+D90+E90</f>
        <v>48.801923280000004</v>
      </c>
      <c r="G90" s="4">
        <f>$F$6*F89</f>
        <v>0.67274064000000011</v>
      </c>
      <c r="H90" s="4">
        <f>$G$6*F89</f>
        <v>1.0091109600000001</v>
      </c>
      <c r="I90" s="4">
        <f>$H$6*B90+$I$6*C90</f>
        <v>0</v>
      </c>
      <c r="J90" s="4">
        <f t="shared" ref="J90:J99" si="34">J89+I90</f>
        <v>0</v>
      </c>
      <c r="K90" s="27">
        <f t="shared" si="32"/>
        <v>0</v>
      </c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 spans="1:24" x14ac:dyDescent="0.25">
      <c r="A91" s="11" t="str">
        <f>$A$26</f>
        <v>Fall 25</v>
      </c>
      <c r="B91" s="4">
        <f>IF(B90-D90+G90-(B90*($B$6+$H$6))+(C90*($C$6))&lt;0,0,B90-D90+G90-(B90*($B$6+$H$6))+(C90*($C$6)))</f>
        <v>52.361489663999997</v>
      </c>
      <c r="C91" s="4">
        <f>IF(C90-E90+H90-(C90*($C$6+$I$6))+(B90*($B$6))&lt;0,0,C90-E90+H90-(C90*($C$6+$I$6))+(B90*($B$6)))</f>
        <v>57.851931455999996</v>
      </c>
      <c r="D91" s="4">
        <f>$D$7*B91</f>
        <v>5.2361489664</v>
      </c>
      <c r="E91" s="4">
        <f>$E$7*C91</f>
        <v>8.6777897183999997</v>
      </c>
      <c r="F91" s="4">
        <f t="shared" si="33"/>
        <v>62.715861964800006</v>
      </c>
      <c r="G91" s="4">
        <f>$F$7*F90</f>
        <v>1.4640576984</v>
      </c>
      <c r="H91" s="4">
        <f>$G$7*F90</f>
        <v>1.9520769312000001</v>
      </c>
      <c r="I91" s="4">
        <f>$H$7*B91+$I$7*C91</f>
        <v>0</v>
      </c>
      <c r="J91" s="4">
        <f t="shared" si="34"/>
        <v>0</v>
      </c>
      <c r="K91" s="27">
        <f t="shared" si="32"/>
        <v>0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</row>
    <row r="92" spans="1:24" x14ac:dyDescent="0.25">
      <c r="A92" s="11" t="str">
        <f>$A$27</f>
        <v>Spring 26</v>
      </c>
      <c r="B92" s="4">
        <f>IF(B91-D91+G91-(B91*($B$7+$H$7))+(C91*($C$7))&lt;0,0,B91-D91+G91-(B91*($B$7+$H$7))+(C91*($C$7)))</f>
        <v>42.331448918879993</v>
      </c>
      <c r="C92" s="4">
        <f>IF(C91-E91+H91-(C91*($C$7+$I$7))+(B91*($B$7))&lt;0,0,C91-E91+H91-(C91*($C$7+$I$7))+(B91*($B$7)))</f>
        <v>57.384168145919993</v>
      </c>
      <c r="D92" s="4">
        <f>$D$8*B92</f>
        <v>4.2331448918879993</v>
      </c>
      <c r="E92" s="4">
        <f>$E$8*C92</f>
        <v>8.6076252218879983</v>
      </c>
      <c r="F92" s="4">
        <f t="shared" si="33"/>
        <v>75.556632078576001</v>
      </c>
      <c r="G92" s="4">
        <f>$F$8*F91</f>
        <v>1.8814758589440002</v>
      </c>
      <c r="H92" s="4">
        <f>$G$8*F91</f>
        <v>3.1357930982400006</v>
      </c>
      <c r="I92" s="4">
        <f>$H$8*B92+$I$8*C92</f>
        <v>0</v>
      </c>
      <c r="J92" s="4">
        <f t="shared" si="34"/>
        <v>0</v>
      </c>
      <c r="K92" s="27">
        <f t="shared" si="32"/>
        <v>0</v>
      </c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 spans="1:24" x14ac:dyDescent="0.25">
      <c r="A93" s="11" t="str">
        <f>$A$28</f>
        <v>Fall 26</v>
      </c>
      <c r="B93" s="4">
        <f>IF(B92-D92+G92-(B92*($B$8+$H$8))+(C92*($C$8))&lt;0,0,B92-D92+G92-(B92*($B$8+$H$8))+(C92*($C$8)))</f>
        <v>35.558648959996802</v>
      </c>
      <c r="C93" s="4">
        <f>IF(C92-E92+H92-(C92*($C$8+$I$8))+(B92*($B$8))&lt;0,0,C92-E92+H92-(C92*($C$8+$I$8))+(B92*($B$8)))</f>
        <v>56.333466948211189</v>
      </c>
      <c r="D93" s="4">
        <f>$D$9*B93</f>
        <v>3.5558648959996804</v>
      </c>
      <c r="E93" s="4">
        <f>$E$9*C93</f>
        <v>8.450020042231678</v>
      </c>
      <c r="F93" s="4">
        <f t="shared" si="33"/>
        <v>87.562517016807362</v>
      </c>
      <c r="G93" s="4">
        <f>$F$9*F92</f>
        <v>2.26669896235728</v>
      </c>
      <c r="H93" s="4">
        <f>$G$9*F92</f>
        <v>3.7778316039288002</v>
      </c>
      <c r="I93" s="4">
        <f>$H$9*B93+$I$9*C93</f>
        <v>0</v>
      </c>
      <c r="J93" s="4">
        <f t="shared" si="34"/>
        <v>0</v>
      </c>
      <c r="K93" s="27">
        <f t="shared" si="32"/>
        <v>0</v>
      </c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 spans="1:24" x14ac:dyDescent="0.25">
      <c r="A94" s="11" t="str">
        <f>$A$29</f>
        <v>Spring 27</v>
      </c>
      <c r="B94" s="4">
        <f>IF(B93-D93+G93-(B93*($B$9+$H$9))+(C93*($C$9))&lt;0,0,B93-D93+G93-(B93*($B$9+$H$9))+(C93*($C$9)))</f>
        <v>31.013167481176318</v>
      </c>
      <c r="C94" s="4">
        <f>IF(C93-E93+H93-(C93*($C$9+$I$9))+(B93*($B$9))&lt;0,0,C93-E93+H93-(C93*($C$9+$I$9))+(B93*($B$9)))</f>
        <v>54.917594055086397</v>
      </c>
      <c r="D94" s="4">
        <f>$D$10*B94</f>
        <v>3.101316748117632</v>
      </c>
      <c r="E94" s="4">
        <f>$E$10*C94</f>
        <v>8.2376391082629592</v>
      </c>
      <c r="F94" s="4">
        <f t="shared" si="33"/>
        <v>98.901472873187942</v>
      </c>
      <c r="G94" s="4">
        <f>$F$10*F93</f>
        <v>2.6268755105042207</v>
      </c>
      <c r="H94" s="4">
        <f>$G$10*F93</f>
        <v>4.3781258508403686</v>
      </c>
      <c r="I94" s="4">
        <f>$H$10*B94+$I$10*C94</f>
        <v>0.31013167481176318</v>
      </c>
      <c r="J94" s="4">
        <f t="shared" si="34"/>
        <v>0.31013167481176318</v>
      </c>
      <c r="K94" s="27">
        <f t="shared" si="32"/>
        <v>3.6090879362321009E-3</v>
      </c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 spans="1:24" x14ac:dyDescent="0.25">
      <c r="A95" s="87"/>
      <c r="B95" s="4">
        <f>IF(B94-D94+G94-(B94*($B$10+$H$10))+(C94*($C$10))&lt;0,0,B94-D94+G94-(B94*($B$10+$H$10))+(C94*($C$10)))</f>
        <v>27.656930429153938</v>
      </c>
      <c r="C95" s="4">
        <f>IF(C94-E94+H94-(C94*($C$10+$I$10))+(B94*($B$10))&lt;0,0,C94-E94+H94-(C94*($C$10+$I$10))+(B94*($B$10)))</f>
        <v>53.629744937261009</v>
      </c>
      <c r="D95" s="4">
        <f>$D$11*B95</f>
        <v>2.7656930429153941</v>
      </c>
      <c r="E95" s="4">
        <f>$E$11*C95</f>
        <v>8.044461740589151</v>
      </c>
      <c r="F95" s="4">
        <f t="shared" si="33"/>
        <v>109.71162765669249</v>
      </c>
      <c r="G95" s="4">
        <f>$F$11*F94</f>
        <v>2.967044186195638</v>
      </c>
      <c r="H95" s="4">
        <f>$G$11*F94</f>
        <v>4.9450736436593976</v>
      </c>
      <c r="I95" s="4">
        <f>$H$11*B95+$I$11*C95</f>
        <v>0.55313860858307873</v>
      </c>
      <c r="J95" s="4">
        <f t="shared" si="34"/>
        <v>0.86327028339484191</v>
      </c>
      <c r="K95" s="27">
        <f t="shared" si="32"/>
        <v>1.0620071241731673E-2</v>
      </c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</row>
    <row r="96" spans="1:24" x14ac:dyDescent="0.25">
      <c r="A96" s="87"/>
      <c r="B96" s="4">
        <f>IF(B95-D95+G95-(B95*($B$11+$H$11))+(C95*($C$11))&lt;0,0,B95-D95+G95-(B95*($B$11+$H$11))+(C95*($C$11)))</f>
        <v>25.200746241705637</v>
      </c>
      <c r="C96" s="4">
        <f>IF(C95-E95+H95-(C95*($C$11+$I$11))+(B95*($B$11))&lt;0,0,C95-E95+H95-(C95*($C$11+$I$11))+(B95*($B$11)))</f>
        <v>52.634753562476725</v>
      </c>
      <c r="D96" s="4">
        <f>$D$12*B96</f>
        <v>2.5200746241705638</v>
      </c>
      <c r="E96" s="4">
        <f>$E$12*C96</f>
        <v>7.8952130343715083</v>
      </c>
      <c r="F96" s="4">
        <f t="shared" si="33"/>
        <v>120.12691531523456</v>
      </c>
      <c r="G96" s="4">
        <f>$F$12*F95</f>
        <v>3.2913488297007745</v>
      </c>
      <c r="H96" s="4">
        <f>$G$12*F95</f>
        <v>5.4855813828346243</v>
      </c>
      <c r="I96" s="4">
        <f>$H$12*B96+$I$12*C96</f>
        <v>3.7801119362558455</v>
      </c>
      <c r="J96" s="4">
        <f t="shared" si="34"/>
        <v>4.6433822196506878</v>
      </c>
      <c r="K96" s="27">
        <f t="shared" si="32"/>
        <v>5.9656355150701855E-2</v>
      </c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 spans="1:24" x14ac:dyDescent="0.25">
      <c r="A97" s="87"/>
      <c r="B97" s="4">
        <f>IF(B96-D96+G96-(B96*($B$12+$H$12))+(C96*($C$12))&lt;0,0,B96-D96+G96-(B96*($B$12+$H$12))+(C96*($C$12)))</f>
        <v>20.399174919550092</v>
      </c>
      <c r="C97" s="4">
        <f>IF(C96-E96+H96-(C96*($C$12+$I$12))+(B96*($B$12))&lt;0,0,C96-E96+H96-(C96*($C$12+$I$12))+(B96*($B$12)))</f>
        <v>52.017855502369741</v>
      </c>
      <c r="D97" s="4">
        <f>$D$13*B97</f>
        <v>2.0399174919550092</v>
      </c>
      <c r="E97" s="4">
        <f>$E$13*C97</f>
        <v>7.802678325355461</v>
      </c>
      <c r="F97" s="4">
        <f t="shared" si="33"/>
        <v>129.96951113254502</v>
      </c>
      <c r="G97" s="4">
        <f>$F$13*F96</f>
        <v>3.6038074594570366</v>
      </c>
      <c r="H97" s="4">
        <f>$G$13*F96</f>
        <v>6.0063457657617283</v>
      </c>
      <c r="I97" s="4">
        <f>$H$13*B97+$I$13*C97</f>
        <v>3.0598762379325137</v>
      </c>
      <c r="J97" s="4">
        <f t="shared" si="34"/>
        <v>7.7032584575832015</v>
      </c>
      <c r="K97" s="27">
        <f t="shared" si="32"/>
        <v>0.10637357556229633</v>
      </c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 spans="1:24" x14ac:dyDescent="0.25">
      <c r="A98" s="87"/>
      <c r="B98" s="4">
        <f>IF(B97-D97+G97-(B97*($B$13+$H$13))+(C97*($C$13))&lt;0,0,B97-D97+G97-(B97*($B$13+$H$13))+(C97*($C$13)))</f>
        <v>18.189213472687054</v>
      </c>
      <c r="C98" s="4">
        <f>IF(C97-E97+H97-(C97*($C$13+$I$13))+(B97*($B$13))&lt;0,0,C97-E97+H97-(C97*($C$13+$I$13))+(B97*($B$13)))</f>
        <v>50.93549811920856</v>
      </c>
      <c r="D98" s="4">
        <f>$D$14*B98</f>
        <v>1.8189213472687056</v>
      </c>
      <c r="E98" s="4">
        <f>$E$14*C98</f>
        <v>7.6403247178812839</v>
      </c>
      <c r="F98" s="4">
        <f t="shared" si="33"/>
        <v>139.42875719769501</v>
      </c>
      <c r="G98" s="4">
        <f>$F$14*F97</f>
        <v>3.8990853339763505</v>
      </c>
      <c r="H98" s="4">
        <f>$G$14*F97</f>
        <v>6.4984755566272518</v>
      </c>
      <c r="I98" s="4">
        <f>$H$14*B98+$I$14*C98</f>
        <v>4.2564469644793146</v>
      </c>
      <c r="J98" s="4">
        <f t="shared" si="34"/>
        <v>11.959705422062516</v>
      </c>
      <c r="K98" s="27">
        <f t="shared" si="32"/>
        <v>0.17301635184637365</v>
      </c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 spans="1:24" x14ac:dyDescent="0.25">
      <c r="A99" s="87"/>
      <c r="B99" s="4">
        <f>IF(B98-D98+G98-(B98*($B$13+$H$13))+(C98*($C$13))&lt;0,0,B98-D98+G98-(B98*($B$13+$H$13))+(C98*($C$13)))</f>
        <v>17.359673343333252</v>
      </c>
      <c r="C99" s="4">
        <f>IF(C98-E98+H98-(C98*($C$14+$I$14))+(B98*($B$14))&lt;0,0,C98-E98+H98-(C98*($C$14+$I$14))+(B98*($B$14)))</f>
        <v>48.628798244263535</v>
      </c>
      <c r="D99" s="4">
        <f>$D$15*B99</f>
        <v>1.7359673343333253</v>
      </c>
      <c r="E99" s="4">
        <f>$E$15*C99</f>
        <v>7.2943197366395296</v>
      </c>
      <c r="F99" s="4">
        <f t="shared" si="33"/>
        <v>148.45904426866787</v>
      </c>
      <c r="G99" s="4">
        <f>$F$15*F98</f>
        <v>4.1828627159308498</v>
      </c>
      <c r="H99" s="4">
        <f>$G$15*F98</f>
        <v>6.9714378598847508</v>
      </c>
      <c r="I99" s="4">
        <f>$H$15*B99+$I$15*C99</f>
        <v>4.5491029312705287</v>
      </c>
      <c r="J99" s="4">
        <f t="shared" si="34"/>
        <v>16.508808353333045</v>
      </c>
      <c r="K99" s="27">
        <f t="shared" si="32"/>
        <v>0.25017715907267724</v>
      </c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 spans="1:24" x14ac:dyDescent="0.25">
      <c r="A100" s="72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9" t="s">
        <v>126</v>
      </c>
      <c r="M100" s="8"/>
      <c r="N100" s="9" t="str">
        <f>"Coninuing Since  "&amp;$A$18</f>
        <v>Coninuing Since  New Fall 21</v>
      </c>
      <c r="O100" s="8"/>
      <c r="P100" s="8"/>
      <c r="Q100" s="11" t="s">
        <v>127</v>
      </c>
      <c r="R100" s="13"/>
      <c r="S100" s="13"/>
      <c r="T100" s="13"/>
      <c r="U100" s="13"/>
      <c r="V100" s="13"/>
      <c r="W100" s="13"/>
      <c r="X100" s="13"/>
    </row>
    <row r="101" spans="1:24" x14ac:dyDescent="0.25">
      <c r="A101" s="11" t="str">
        <f>$A$17</f>
        <v>Semester</v>
      </c>
      <c r="B101" s="12" t="s">
        <v>82</v>
      </c>
      <c r="C101" s="12" t="s">
        <v>83</v>
      </c>
      <c r="D101" s="12" t="s">
        <v>93</v>
      </c>
      <c r="E101" s="12" t="s">
        <v>92</v>
      </c>
      <c r="F101" s="12" t="s">
        <v>84</v>
      </c>
      <c r="G101" s="12" t="s">
        <v>94</v>
      </c>
      <c r="H101" s="12" t="s">
        <v>95</v>
      </c>
      <c r="I101" s="12" t="s">
        <v>81</v>
      </c>
      <c r="J101" s="12" t="s">
        <v>85</v>
      </c>
      <c r="K101" s="12" t="s">
        <v>96</v>
      </c>
      <c r="L101" s="12" t="s">
        <v>100</v>
      </c>
      <c r="M101" s="12" t="s">
        <v>101</v>
      </c>
      <c r="N101" s="12" t="s">
        <v>100</v>
      </c>
      <c r="O101" s="12" t="s">
        <v>101</v>
      </c>
      <c r="P101" s="12" t="s">
        <v>100</v>
      </c>
      <c r="Q101" s="12" t="s">
        <v>101</v>
      </c>
      <c r="R101" s="13"/>
      <c r="S101" s="13"/>
      <c r="T101" s="13"/>
      <c r="U101" s="13"/>
      <c r="V101" s="13"/>
      <c r="W101" s="13"/>
      <c r="X101" s="13"/>
    </row>
    <row r="102" spans="1:24" x14ac:dyDescent="0.25">
      <c r="A102" s="11" t="str">
        <f>"New "&amp;$A$24</f>
        <v>New Fall 24</v>
      </c>
      <c r="B102" s="80">
        <f>Enrollment!I3</f>
        <v>310.49567999999999</v>
      </c>
      <c r="C102" s="80">
        <f>Enrollment!I5</f>
        <v>77.623919999999998</v>
      </c>
      <c r="D102" s="4">
        <f>$D$4*B102</f>
        <v>31.049568000000001</v>
      </c>
      <c r="E102" s="4">
        <f>$E$4*C102</f>
        <v>11.643587999999999</v>
      </c>
      <c r="F102" s="4">
        <f>D102+E102</f>
        <v>42.693156000000002</v>
      </c>
      <c r="G102" s="4">
        <v>0</v>
      </c>
      <c r="H102" s="4">
        <v>0</v>
      </c>
      <c r="I102" s="4">
        <f>$H$4*B102+$I$4*C102</f>
        <v>0</v>
      </c>
      <c r="J102" s="4">
        <f>I102</f>
        <v>0</v>
      </c>
      <c r="K102" s="27">
        <f>J102/(B102+C102)</f>
        <v>0</v>
      </c>
      <c r="L102" s="4">
        <f>L182</f>
        <v>284.57625446881769</v>
      </c>
      <c r="M102" s="4">
        <f>M182</f>
        <v>674.22603261534027</v>
      </c>
      <c r="N102" s="6">
        <f>B90+B77+B64+B51+B38+B25</f>
        <v>433.43794411656006</v>
      </c>
      <c r="O102" s="6">
        <f>C90+C77+C64+C51+C38+C25</f>
        <v>593.58402716047999</v>
      </c>
      <c r="P102" s="6">
        <f>L102+N102</f>
        <v>718.0141985853777</v>
      </c>
      <c r="Q102" s="6">
        <f>M102+O102</f>
        <v>1267.8100597758203</v>
      </c>
      <c r="R102" s="13"/>
      <c r="S102" s="13"/>
      <c r="T102" s="13"/>
      <c r="U102" s="13"/>
      <c r="V102" s="13"/>
      <c r="W102" s="13"/>
      <c r="X102" s="13"/>
    </row>
    <row r="103" spans="1:24" x14ac:dyDescent="0.25">
      <c r="A103" s="11" t="str">
        <f>$A$25</f>
        <v>Spring 25</v>
      </c>
      <c r="B103" s="4">
        <f>IF(B102-D102+G102-(B102*($B$4+$H$4))+(C102*($C$4))&lt;0,0,B102-D102+G102-(B102*($B$4+$H$4))+(C102*($C$4)))</f>
        <v>225.10936799999999</v>
      </c>
      <c r="C103" s="4">
        <f>IF(C102-E102+H102-(C102*($C$4+$I$4))+(B102*($B$4))&lt;0,0,C102-E102+H102-(C102*($C$4+$I$4))+(B102*($B$4)))</f>
        <v>120.31707600000001</v>
      </c>
      <c r="D103" s="4">
        <f>$D$5*B103</f>
        <v>22.5109368</v>
      </c>
      <c r="E103" s="4">
        <f>$E$5*C103</f>
        <v>18.047561400000003</v>
      </c>
      <c r="F103" s="4">
        <f>F102+D103+E103</f>
        <v>83.251654200000004</v>
      </c>
      <c r="G103" s="4">
        <f>$F$5*F102</f>
        <v>0.42693156000000004</v>
      </c>
      <c r="H103" s="4">
        <f>$G$5*F102</f>
        <v>0.85386312000000009</v>
      </c>
      <c r="I103" s="4">
        <f>$H$5*B103+$I$5*C103</f>
        <v>0</v>
      </c>
      <c r="J103" s="4">
        <f>J102+I103</f>
        <v>0</v>
      </c>
      <c r="K103" s="27">
        <f t="shared" ref="K103:K113" si="35">J103/(B103+C103)</f>
        <v>0</v>
      </c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 spans="1:24" x14ac:dyDescent="0.25">
      <c r="A104" s="11" t="str">
        <f>$A$26</f>
        <v>Fall 25</v>
      </c>
      <c r="B104" s="4">
        <f>IF(B103-D103+G103-(B103*($B$5+$H$5))+(C103*($C$5))&lt;0,0,B103-D103+G103-(B103*($B$5+$H$5))+(C103*($C$5)))</f>
        <v>167.78410308000002</v>
      </c>
      <c r="C104" s="4">
        <f>IF(C103-E103+H103-(C103*($C$5+$I$5))+(B103*($B$5))&lt;0,0,C103-E103+H103-(C103*($C$5+$I$5))+(B103*($B$5)))</f>
        <v>138.36463739999999</v>
      </c>
      <c r="D104" s="4">
        <f>$D$6*B104</f>
        <v>16.778410308000002</v>
      </c>
      <c r="E104" s="4">
        <f>$E$6*C104</f>
        <v>20.754695609999999</v>
      </c>
      <c r="F104" s="4">
        <f t="shared" ref="F104:F113" si="36">F103+D104+E104</f>
        <v>120.78476011800001</v>
      </c>
      <c r="G104" s="4">
        <f>$F$6*F103</f>
        <v>1.6650330840000001</v>
      </c>
      <c r="H104" s="4">
        <f>$G$6*F103</f>
        <v>2.4975496260000001</v>
      </c>
      <c r="I104" s="4">
        <f>$H$6*B104+$I$6*C104</f>
        <v>0</v>
      </c>
      <c r="J104" s="4">
        <f t="shared" ref="J104:J113" si="37">J103+I104</f>
        <v>0</v>
      </c>
      <c r="K104" s="27">
        <f t="shared" si="35"/>
        <v>0</v>
      </c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 spans="1:24" x14ac:dyDescent="0.25">
      <c r="A105" s="11" t="str">
        <f>$A$27</f>
        <v>Spring 26</v>
      </c>
      <c r="B105" s="4">
        <f>IF(B104-D104+G104-(B104*($B$6+$H$6))+(C104*($C$6))&lt;0,0,B104-D104+G104-(B104*($B$6+$H$6))+(C104*($C$6)))</f>
        <v>129.59468691840001</v>
      </c>
      <c r="C105" s="4">
        <f>IF(C104-E104+H104-(C104*($C$6+$I$6))+(B104*($B$6))&lt;0,0,C104-E104+H104-(C104*($C$6+$I$6))+(B104*($B$6)))</f>
        <v>143.18353035359999</v>
      </c>
      <c r="D105" s="4">
        <f>$D$7*B105</f>
        <v>12.959468691840001</v>
      </c>
      <c r="E105" s="4">
        <f>$E$7*C105</f>
        <v>21.477529553039997</v>
      </c>
      <c r="F105" s="4">
        <f t="shared" si="36"/>
        <v>155.22175836288002</v>
      </c>
      <c r="G105" s="4">
        <f>$F$7*F104</f>
        <v>3.6235428035399999</v>
      </c>
      <c r="H105" s="4">
        <f>$G$7*F104</f>
        <v>4.8313904047200005</v>
      </c>
      <c r="I105" s="4">
        <f>$H$7*B105+$I$7*C105</f>
        <v>0</v>
      </c>
      <c r="J105" s="4">
        <f t="shared" si="37"/>
        <v>0</v>
      </c>
      <c r="K105" s="27">
        <f t="shared" si="35"/>
        <v>0</v>
      </c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</row>
    <row r="106" spans="1:24" x14ac:dyDescent="0.25">
      <c r="A106" s="11" t="str">
        <f>$A$28</f>
        <v>Fall 26</v>
      </c>
      <c r="B106" s="4">
        <f>IF(B105-D105+G105-(B105*($B$7+$H$7))+(C105*($C$7))&lt;0,0,B105-D105+G105-(B105*($B$7+$H$7))+(C105*($C$7)))</f>
        <v>104.77033607422801</v>
      </c>
      <c r="C106" s="4">
        <f>IF(C105-E105+H105-(C105*($C$7+$I$7))+(B105*($B$7))&lt;0,0,C105-E105+H105-(C105*($C$7+$I$7))+(B105*($B$7)))</f>
        <v>142.02581616115199</v>
      </c>
      <c r="D106" s="4">
        <f>$D$8*B106</f>
        <v>10.477033607422802</v>
      </c>
      <c r="E106" s="4">
        <f>$E$8*C106</f>
        <v>21.303872424172798</v>
      </c>
      <c r="F106" s="4">
        <f t="shared" si="36"/>
        <v>187.00266439447563</v>
      </c>
      <c r="G106" s="4">
        <f>$F$8*F105</f>
        <v>4.6566527508864004</v>
      </c>
      <c r="H106" s="4">
        <f>$G$8*F105</f>
        <v>7.7610879181440016</v>
      </c>
      <c r="I106" s="4">
        <f>$H$8*B106+$I$8*C106</f>
        <v>0</v>
      </c>
      <c r="J106" s="4">
        <f t="shared" si="37"/>
        <v>0</v>
      </c>
      <c r="K106" s="27">
        <f t="shared" si="35"/>
        <v>0</v>
      </c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 spans="1:24" x14ac:dyDescent="0.25">
      <c r="A107" s="11" t="str">
        <f>$A$29</f>
        <v>Spring 27</v>
      </c>
      <c r="B107" s="4">
        <f>IF(B106-D106+G106-(B106*($B$8+$H$8))+(C106*($C$8))&lt;0,0,B106-D106+G106-(B106*($B$8+$H$8))+(C106*($C$8)))</f>
        <v>88.007656175992082</v>
      </c>
      <c r="C107" s="4">
        <f>IF(C106-E106+H106-(C106*($C$8+$I$8))+(B106*($B$8))&lt;0,0,C106-E106+H106-(C106*($C$8+$I$8))+(B106*($B$8)))</f>
        <v>139.42533069682273</v>
      </c>
      <c r="D107" s="4">
        <f>$D$9*B107</f>
        <v>8.8007656175992093</v>
      </c>
      <c r="E107" s="4">
        <f>$E$9*C107</f>
        <v>20.913799604523408</v>
      </c>
      <c r="F107" s="4">
        <f t="shared" si="36"/>
        <v>216.71722961659825</v>
      </c>
      <c r="G107" s="4">
        <f>$F$9*F106</f>
        <v>5.6100799318342691</v>
      </c>
      <c r="H107" s="4">
        <f>$G$9*F106</f>
        <v>9.3501332197237819</v>
      </c>
      <c r="I107" s="4">
        <f>$H$9*B107+$I$9*C107</f>
        <v>0</v>
      </c>
      <c r="J107" s="4">
        <f t="shared" si="37"/>
        <v>0</v>
      </c>
      <c r="K107" s="27">
        <f t="shared" si="35"/>
        <v>0</v>
      </c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 spans="1:24" x14ac:dyDescent="0.25">
      <c r="A108" s="87"/>
      <c r="B108" s="4">
        <f>IF(B107-D107+G107-(B107*($B$9+$H$9))+(C107*($C$9))&lt;0,0,B107-D107+G107-(B107*($B$9+$H$9))+(C107*($C$9)))</f>
        <v>76.757589515911391</v>
      </c>
      <c r="C108" s="4">
        <f>IF(C107-E107+H107-(C107*($C$9+$I$9))+(B107*($B$9))&lt;0,0,C107-E107+H107-(C107*($C$9+$I$9))+(B107*($B$9)))</f>
        <v>135.92104528633885</v>
      </c>
      <c r="D108" s="4">
        <f>$D$10*B108</f>
        <v>7.6757589515911393</v>
      </c>
      <c r="E108" s="4">
        <f>$E$10*C108</f>
        <v>20.388156792950827</v>
      </c>
      <c r="F108" s="4">
        <f t="shared" si="36"/>
        <v>244.78114536114023</v>
      </c>
      <c r="G108" s="4">
        <f>$F$10*F107</f>
        <v>6.5015168884979468</v>
      </c>
      <c r="H108" s="4">
        <f>$G$10*F107</f>
        <v>10.835861480829912</v>
      </c>
      <c r="I108" s="4">
        <f>$H$10*B108+$I$10*C108</f>
        <v>0.76757589515911395</v>
      </c>
      <c r="J108" s="4">
        <f t="shared" si="37"/>
        <v>0.76757589515911395</v>
      </c>
      <c r="K108" s="27">
        <f t="shared" si="35"/>
        <v>3.6090879362321005E-3</v>
      </c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 spans="1:24" x14ac:dyDescent="0.25">
      <c r="A109" s="87"/>
      <c r="B109" s="4">
        <f>IF(B108-D108+G108-(B108*($B$10+$H$10))+(C108*($C$10))&lt;0,0,B108-D108+G108-(B108*($B$10+$H$10))+(C108*($C$10)))</f>
        <v>68.450902812156016</v>
      </c>
      <c r="C109" s="4">
        <f>IF(C108-E108+H108-(C108*($C$10+$I$10))+(B108*($B$10))&lt;0,0,C108-E108+H108-(C108*($C$10+$I$10))+(B108*($B$10)))</f>
        <v>132.73361871972102</v>
      </c>
      <c r="D109" s="4">
        <f>$D$11*B109</f>
        <v>6.8450902812156018</v>
      </c>
      <c r="E109" s="4">
        <f>$E$11*C109</f>
        <v>19.910042807958153</v>
      </c>
      <c r="F109" s="4">
        <f t="shared" si="36"/>
        <v>271.536278450314</v>
      </c>
      <c r="G109" s="4">
        <f>$F$11*F108</f>
        <v>7.3434343608342063</v>
      </c>
      <c r="H109" s="4">
        <f>$G$11*F108</f>
        <v>12.239057268057012</v>
      </c>
      <c r="I109" s="4">
        <f>$H$11*B109+$I$11*C109</f>
        <v>1.3690180562431205</v>
      </c>
      <c r="J109" s="4">
        <f t="shared" si="37"/>
        <v>2.1365939514022343</v>
      </c>
      <c r="K109" s="27">
        <f t="shared" si="35"/>
        <v>1.0620071241731675E-2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 spans="1:24" x14ac:dyDescent="0.25">
      <c r="A110" s="87"/>
      <c r="B110" s="4">
        <f>IF(B109-D109+G109-(B109*($B$11+$H$11))+(C109*($C$11))&lt;0,0,B109-D109+G109-(B109*($B$11+$H$11))+(C109*($C$11)))</f>
        <v>62.371846948221474</v>
      </c>
      <c r="C110" s="4">
        <f>IF(C109-E109+H109-(C109*($C$11+$I$11))+(B109*($B$11))&lt;0,0,C109-E109+H109-(C109*($C$11+$I$11))+(B109*($B$11)))</f>
        <v>130.27101506712989</v>
      </c>
      <c r="D110" s="4">
        <f>$D$12*B110</f>
        <v>6.2371846948221474</v>
      </c>
      <c r="E110" s="4">
        <f>$E$12*C110</f>
        <v>19.540652260069482</v>
      </c>
      <c r="F110" s="4">
        <f t="shared" si="36"/>
        <v>297.3141154052056</v>
      </c>
      <c r="G110" s="4">
        <f>$F$12*F109</f>
        <v>8.1460883535094197</v>
      </c>
      <c r="H110" s="4">
        <f>$G$12*F109</f>
        <v>13.576813922515701</v>
      </c>
      <c r="I110" s="4">
        <f>$H$12*B110+$I$12*C110</f>
        <v>9.3557770422332212</v>
      </c>
      <c r="J110" s="4">
        <f t="shared" si="37"/>
        <v>11.492370993635456</v>
      </c>
      <c r="K110" s="27">
        <f t="shared" si="35"/>
        <v>5.9656355150701869E-2</v>
      </c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 spans="1:24" x14ac:dyDescent="0.25">
      <c r="A111" s="87"/>
      <c r="B111" s="4">
        <f>IF(B110-D110+G110-(B110*($B$12+$H$12))+(C110*($C$12))&lt;0,0,B110-D110+G110-(B110*($B$12+$H$12))+(C110*($C$12)))</f>
        <v>50.487957925886505</v>
      </c>
      <c r="C111" s="4">
        <f>IF(C110-E110+H110-(C110*($C$12+$I$12))+(B110*($B$12))&lt;0,0,C110-E110+H110-(C110*($C$12+$I$12))+(B110*($B$12)))</f>
        <v>128.74419236836513</v>
      </c>
      <c r="D111" s="4">
        <f>$D$13*B111</f>
        <v>5.0487957925886509</v>
      </c>
      <c r="E111" s="4">
        <f>$E$13*C111</f>
        <v>19.311628855254771</v>
      </c>
      <c r="F111" s="4">
        <f t="shared" si="36"/>
        <v>321.67454005304899</v>
      </c>
      <c r="G111" s="4">
        <f>$F$13*F110</f>
        <v>8.9194234621561677</v>
      </c>
      <c r="H111" s="4">
        <f>$G$13*F110</f>
        <v>14.865705770260281</v>
      </c>
      <c r="I111" s="4">
        <f>$H$13*B111+$I$13*C111</f>
        <v>7.5731936888829754</v>
      </c>
      <c r="J111" s="4">
        <f t="shared" si="37"/>
        <v>19.065564682518431</v>
      </c>
      <c r="K111" s="27">
        <f t="shared" si="35"/>
        <v>0.10637357556229633</v>
      </c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 spans="1:24" x14ac:dyDescent="0.25">
      <c r="A112" s="87"/>
      <c r="B112" s="4">
        <f>IF(B111-D111+G111-(B111*($B$13+$H$13))+(C111*($C$13))&lt;0,0,B111-D111+G111-(B111*($B$13+$H$13))+(C111*($C$13)))</f>
        <v>45.018303344900481</v>
      </c>
      <c r="C112" s="4">
        <f>IF(C111-E111+H111-(C111*($C$13+$I$13))+(B111*($B$13))&lt;0,0,C111-E111+H111-(C111*($C$13+$I$13))+(B111*($B$13)))</f>
        <v>126.06535784504121</v>
      </c>
      <c r="D112" s="4">
        <f>$D$14*B112</f>
        <v>4.5018303344900481</v>
      </c>
      <c r="E112" s="4">
        <f>$E$14*C112</f>
        <v>18.90980367675618</v>
      </c>
      <c r="F112" s="4">
        <f t="shared" si="36"/>
        <v>345.08617406429516</v>
      </c>
      <c r="G112" s="4">
        <f>$F$14*F111</f>
        <v>9.6502362015914684</v>
      </c>
      <c r="H112" s="4">
        <f>$G$14*F111</f>
        <v>16.083727002652449</v>
      </c>
      <c r="I112" s="4">
        <f>$H$14*B112+$I$14*C112</f>
        <v>10.534706237086308</v>
      </c>
      <c r="J112" s="4">
        <f t="shared" si="37"/>
        <v>29.600270919604739</v>
      </c>
      <c r="K112" s="27">
        <f t="shared" si="35"/>
        <v>0.17301635184637368</v>
      </c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 spans="1:24" x14ac:dyDescent="0.25">
      <c r="A113" s="72"/>
      <c r="B113" s="4">
        <f>IF(B112-D112+G112-(B112*($B$13+$H$13))+(C112*($C$13))&lt;0,0,B112-D112+G112-(B112*($B$13+$H$13))+(C112*($C$13)))</f>
        <v>42.965191524749812</v>
      </c>
      <c r="C113" s="4">
        <f>IF(C112-E112+H112-(C112*($C$14+$I$14))+(B112*($B$14))&lt;0,0,C112-E112+H112-(C112*($C$14+$I$14))+(B112*($B$14)))</f>
        <v>120.35627565455225</v>
      </c>
      <c r="D113" s="4">
        <f>$D$15*B113</f>
        <v>4.2965191524749811</v>
      </c>
      <c r="E113" s="4">
        <f>$E$15*C113</f>
        <v>18.053441348182837</v>
      </c>
      <c r="F113" s="4">
        <f t="shared" si="36"/>
        <v>367.43613456495297</v>
      </c>
      <c r="G113" s="4">
        <f>$F$15*F112</f>
        <v>10.352585221928855</v>
      </c>
      <c r="H113" s="4">
        <f>$G$15*F112</f>
        <v>17.254308703214758</v>
      </c>
      <c r="I113" s="4">
        <f>$H$15*B113+$I$15*C113</f>
        <v>11.259029754894563</v>
      </c>
      <c r="J113" s="4">
        <f t="shared" si="37"/>
        <v>40.859300674499302</v>
      </c>
      <c r="K113" s="27">
        <f t="shared" si="35"/>
        <v>0.25017715907267735</v>
      </c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 spans="1:24" x14ac:dyDescent="0.25">
      <c r="A114" s="72"/>
      <c r="B114" s="52"/>
      <c r="C114" s="52"/>
      <c r="D114" s="52"/>
      <c r="E114" s="52"/>
      <c r="F114" s="52"/>
      <c r="G114" s="52"/>
      <c r="H114" s="52"/>
      <c r="I114" s="52"/>
      <c r="J114" s="52"/>
      <c r="K114" s="79"/>
      <c r="L114" s="9" t="s">
        <v>126</v>
      </c>
      <c r="M114" s="8"/>
      <c r="N114" s="9" t="str">
        <f>"Coninuing Since  "&amp;$A$18</f>
        <v>Coninuing Since  New Fall 21</v>
      </c>
      <c r="O114" s="8"/>
      <c r="P114" s="8"/>
      <c r="Q114" s="11" t="s">
        <v>127</v>
      </c>
      <c r="R114" s="13"/>
      <c r="S114" s="13"/>
      <c r="T114" s="13"/>
      <c r="U114" s="13"/>
      <c r="V114" s="13"/>
      <c r="W114" s="13"/>
      <c r="X114" s="13"/>
    </row>
    <row r="115" spans="1:24" x14ac:dyDescent="0.25">
      <c r="A115" s="11" t="str">
        <f>$A$17</f>
        <v>Semester</v>
      </c>
      <c r="B115" s="12" t="s">
        <v>82</v>
      </c>
      <c r="C115" s="12" t="s">
        <v>83</v>
      </c>
      <c r="D115" s="12" t="s">
        <v>93</v>
      </c>
      <c r="E115" s="12" t="s">
        <v>92</v>
      </c>
      <c r="F115" s="12" t="s">
        <v>84</v>
      </c>
      <c r="G115" s="12" t="s">
        <v>94</v>
      </c>
      <c r="H115" s="12" t="s">
        <v>95</v>
      </c>
      <c r="I115" s="12" t="s">
        <v>81</v>
      </c>
      <c r="J115" s="12" t="s">
        <v>85</v>
      </c>
      <c r="K115" s="12" t="s">
        <v>96</v>
      </c>
      <c r="L115" s="12" t="s">
        <v>100</v>
      </c>
      <c r="M115" s="12" t="s">
        <v>101</v>
      </c>
      <c r="N115" s="12" t="s">
        <v>100</v>
      </c>
      <c r="O115" s="12" t="s">
        <v>101</v>
      </c>
      <c r="P115" s="12" t="s">
        <v>100</v>
      </c>
      <c r="Q115" s="12" t="s">
        <v>101</v>
      </c>
      <c r="R115" s="13"/>
      <c r="S115" s="13"/>
      <c r="T115" s="13"/>
      <c r="U115" s="13"/>
      <c r="V115" s="13"/>
      <c r="W115" s="13"/>
      <c r="X115" s="13"/>
    </row>
    <row r="116" spans="1:24" x14ac:dyDescent="0.25">
      <c r="A116" s="11" t="str">
        <f>"New "&amp;$A$25</f>
        <v>New Spring 25</v>
      </c>
      <c r="B116" s="80">
        <f>Enrollment!H3</f>
        <v>125.45280000000001</v>
      </c>
      <c r="C116" s="80">
        <f>Enrollment!H5</f>
        <v>31.363200000000003</v>
      </c>
      <c r="D116" s="4">
        <f>$D$4*B116</f>
        <v>12.545280000000002</v>
      </c>
      <c r="E116" s="4">
        <f>$E$4*C116</f>
        <v>4.7044800000000002</v>
      </c>
      <c r="F116" s="4">
        <f>D116+E116</f>
        <v>17.249760000000002</v>
      </c>
      <c r="G116" s="4">
        <v>0</v>
      </c>
      <c r="H116" s="4">
        <v>0</v>
      </c>
      <c r="I116" s="4">
        <f>$H$4*B116+$I$4*C116</f>
        <v>0</v>
      </c>
      <c r="J116" s="4">
        <f>I116</f>
        <v>0</v>
      </c>
      <c r="K116" s="27">
        <f>J116/(B116+C116)</f>
        <v>0</v>
      </c>
      <c r="L116" s="4">
        <f>L183</f>
        <v>212.21337733723763</v>
      </c>
      <c r="M116" s="4">
        <f>M183</f>
        <v>533.98981083700028</v>
      </c>
      <c r="N116" s="6">
        <f>B103+B91+B78+B65+B52+B39+B26</f>
        <v>590.03292350749757</v>
      </c>
      <c r="O116" s="6">
        <f>C103+C91+C78+C65+C52+C39+C26</f>
        <v>706.18998940484323</v>
      </c>
      <c r="P116" s="6">
        <f>L116+N116</f>
        <v>802.24630084473517</v>
      </c>
      <c r="Q116" s="6">
        <f>M116+O116</f>
        <v>1240.1798002418436</v>
      </c>
      <c r="R116" s="13"/>
      <c r="S116" s="13"/>
      <c r="T116" s="13"/>
      <c r="U116" s="13"/>
      <c r="V116" s="13"/>
      <c r="W116" s="13"/>
      <c r="X116" s="13"/>
    </row>
    <row r="117" spans="1:24" x14ac:dyDescent="0.25">
      <c r="A117" s="11" t="str">
        <f>$A$26</f>
        <v>Fall 25</v>
      </c>
      <c r="B117" s="4">
        <f>IF(B116-D116+G116-(B116*($B$4+$H$4))+(C116*($C$4))&lt;0,0,B116-D116+G116-(B116*($B$4+$H$4))+(C116*($C$4)))</f>
        <v>90.953279999999992</v>
      </c>
      <c r="C117" s="4">
        <f>IF(C116-E116+H116-(C116*($C$4+$I$4))+(B116*($B$4))&lt;0,0,C116-E116+H116-(C116*($C$4+$I$4))+(B116*($B$4)))</f>
        <v>48.612960000000001</v>
      </c>
      <c r="D117" s="4">
        <f>$D$5*B117</f>
        <v>9.0953280000000003</v>
      </c>
      <c r="E117" s="4">
        <f>$E$5*C117</f>
        <v>7.291944</v>
      </c>
      <c r="F117" s="4">
        <f>F116+D117+E117</f>
        <v>33.637032000000005</v>
      </c>
      <c r="G117" s="4">
        <f>$F$5*F116</f>
        <v>0.17249760000000003</v>
      </c>
      <c r="H117" s="4">
        <f>$G$5*F116</f>
        <v>0.34499520000000006</v>
      </c>
      <c r="I117" s="4">
        <f>$H$5*B117+$I$5*C117</f>
        <v>0</v>
      </c>
      <c r="J117" s="4">
        <f>J116+I117</f>
        <v>0</v>
      </c>
      <c r="K117" s="27">
        <f t="shared" ref="K117:K127" si="38">J117/(B117+C117)</f>
        <v>0</v>
      </c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 spans="1:24" x14ac:dyDescent="0.25">
      <c r="A118" s="11" t="str">
        <f>$A$27</f>
        <v>Spring 26</v>
      </c>
      <c r="B118" s="4">
        <f>IF(B117-D117+G117-(B117*($B$5+$H$5))+(C117*($C$5))&lt;0,0,B117-D117+G117-(B117*($B$5+$H$5))+(C117*($C$5)))</f>
        <v>67.791556799999995</v>
      </c>
      <c r="C118" s="4">
        <f>IF(C117-E117+H117-(C117*($C$5+$I$5))+(B117*($B$5))&lt;0,0,C117-E117+H117-(C117*($C$5+$I$5))+(B117*($B$5)))</f>
        <v>55.904903999999995</v>
      </c>
      <c r="D118" s="4">
        <f>$D$6*B118</f>
        <v>6.7791556799999997</v>
      </c>
      <c r="E118" s="4">
        <f>$E$6*C118</f>
        <v>8.3857355999999985</v>
      </c>
      <c r="F118" s="4">
        <f t="shared" ref="F118:F127" si="39">F117+D118+E118</f>
        <v>48.801923280000004</v>
      </c>
      <c r="G118" s="4">
        <f>$F$6*F117</f>
        <v>0.67274064000000011</v>
      </c>
      <c r="H118" s="4">
        <f>$G$6*F117</f>
        <v>1.0091109600000001</v>
      </c>
      <c r="I118" s="4">
        <f>$H$6*B118+$I$6*C118</f>
        <v>0</v>
      </c>
      <c r="J118" s="4">
        <f t="shared" ref="J118:J127" si="40">J117+I118</f>
        <v>0</v>
      </c>
      <c r="K118" s="27">
        <f t="shared" si="38"/>
        <v>0</v>
      </c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 spans="1:24" x14ac:dyDescent="0.25">
      <c r="A119" s="11" t="str">
        <f>$A$28</f>
        <v>Fall 26</v>
      </c>
      <c r="B119" s="4">
        <f>IF(B118-D118+G118-(B118*($B$6+$H$6))+(C118*($C$6))&lt;0,0,B118-D118+G118-(B118*($B$6+$H$6))+(C118*($C$6)))</f>
        <v>52.361489663999997</v>
      </c>
      <c r="C119" s="4">
        <f>IF(C118-E118+H118-(C118*($C$6+$I$6))+(B118*($B$6))&lt;0,0,C118-E118+H118-(C118*($C$6+$I$6))+(B118*($B$6)))</f>
        <v>57.851931455999996</v>
      </c>
      <c r="D119" s="4">
        <f>$D$7*B119</f>
        <v>5.2361489664</v>
      </c>
      <c r="E119" s="4">
        <f>$E$7*C119</f>
        <v>8.6777897183999997</v>
      </c>
      <c r="F119" s="4">
        <f t="shared" si="39"/>
        <v>62.715861964800006</v>
      </c>
      <c r="G119" s="4">
        <f>$F$7*F118</f>
        <v>1.4640576984</v>
      </c>
      <c r="H119" s="4">
        <f>$G$7*F118</f>
        <v>1.9520769312000001</v>
      </c>
      <c r="I119" s="4">
        <f>$H$7*B119+$I$7*C119</f>
        <v>0</v>
      </c>
      <c r="J119" s="4">
        <f t="shared" si="40"/>
        <v>0</v>
      </c>
      <c r="K119" s="27">
        <f t="shared" si="38"/>
        <v>0</v>
      </c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 spans="1:24" x14ac:dyDescent="0.25">
      <c r="A120" s="11" t="str">
        <f>$A$29</f>
        <v>Spring 27</v>
      </c>
      <c r="B120" s="4">
        <f>IF(B119-D119+G119-(B119*($B$7+$H$7))+(C119*($C$7))&lt;0,0,B119-D119+G119-(B119*($B$7+$H$7))+(C119*($C$7)))</f>
        <v>42.331448918879993</v>
      </c>
      <c r="C120" s="4">
        <f>IF(C119-E119+H119-(C119*($C$7+$I$7))+(B119*($B$7))&lt;0,0,C119-E119+H119-(C119*($C$7+$I$7))+(B119*($B$7)))</f>
        <v>57.384168145919993</v>
      </c>
      <c r="D120" s="4">
        <f>$D$8*B120</f>
        <v>4.2331448918879993</v>
      </c>
      <c r="E120" s="4">
        <f>$E$8*C120</f>
        <v>8.6076252218879983</v>
      </c>
      <c r="F120" s="4">
        <f t="shared" si="39"/>
        <v>75.556632078576001</v>
      </c>
      <c r="G120" s="4">
        <f>$F$8*F119</f>
        <v>1.8814758589440002</v>
      </c>
      <c r="H120" s="4">
        <f>$G$8*F119</f>
        <v>3.1357930982400006</v>
      </c>
      <c r="I120" s="4">
        <f>$H$8*B120+$I$8*C120</f>
        <v>0</v>
      </c>
      <c r="J120" s="4">
        <f t="shared" si="40"/>
        <v>0</v>
      </c>
      <c r="K120" s="27">
        <f t="shared" si="38"/>
        <v>0</v>
      </c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 spans="1:24" x14ac:dyDescent="0.25">
      <c r="A121" s="87"/>
      <c r="B121" s="4">
        <f>IF(B120-D120+G120-(B120*($B$8+$H$8))+(C120*($C$8))&lt;0,0,B120-D120+G120-(B120*($B$8+$H$8))+(C120*($C$8)))</f>
        <v>35.558648959996802</v>
      </c>
      <c r="C121" s="4">
        <f>IF(C120-E120+H120-(C120*($C$8+$I$8))+(B120*($B$8))&lt;0,0,C120-E120+H120-(C120*($C$8+$I$8))+(B120*($B$8)))</f>
        <v>56.333466948211189</v>
      </c>
      <c r="D121" s="4">
        <f>$D$9*B121</f>
        <v>3.5558648959996804</v>
      </c>
      <c r="E121" s="4">
        <f>$E$9*C121</f>
        <v>8.450020042231678</v>
      </c>
      <c r="F121" s="4">
        <f t="shared" si="39"/>
        <v>87.562517016807362</v>
      </c>
      <c r="G121" s="4">
        <f>$F$9*F120</f>
        <v>2.26669896235728</v>
      </c>
      <c r="H121" s="4">
        <f>$G$9*F120</f>
        <v>3.7778316039288002</v>
      </c>
      <c r="I121" s="4">
        <f>$H$9*B121+$I$9*C121</f>
        <v>0</v>
      </c>
      <c r="J121" s="4">
        <f t="shared" si="40"/>
        <v>0</v>
      </c>
      <c r="K121" s="27">
        <f t="shared" si="38"/>
        <v>0</v>
      </c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 spans="1:24" x14ac:dyDescent="0.25">
      <c r="A122" s="87"/>
      <c r="B122" s="4">
        <f>IF(B121-D121+G121-(B121*($B$9+$H$9))+(C121*($C$9))&lt;0,0,B121-D121+G121-(B121*($B$9+$H$9))+(C121*($C$9)))</f>
        <v>31.013167481176318</v>
      </c>
      <c r="C122" s="4">
        <f>IF(C121-E121+H121-(C121*($C$9+$I$9))+(B121*($B$9))&lt;0,0,C121-E121+H121-(C121*($C$9+$I$9))+(B121*($B$9)))</f>
        <v>54.917594055086397</v>
      </c>
      <c r="D122" s="4">
        <f>$D$10*B122</f>
        <v>3.101316748117632</v>
      </c>
      <c r="E122" s="4">
        <f>$E$10*C122</f>
        <v>8.2376391082629592</v>
      </c>
      <c r="F122" s="4">
        <f t="shared" si="39"/>
        <v>98.901472873187942</v>
      </c>
      <c r="G122" s="4">
        <f>$F$10*F121</f>
        <v>2.6268755105042207</v>
      </c>
      <c r="H122" s="4">
        <f>$G$10*F121</f>
        <v>4.3781258508403686</v>
      </c>
      <c r="I122" s="4">
        <f>$H$10*B122+$I$10*C122</f>
        <v>0.31013167481176318</v>
      </c>
      <c r="J122" s="4">
        <f t="shared" si="40"/>
        <v>0.31013167481176318</v>
      </c>
      <c r="K122" s="27">
        <f t="shared" si="38"/>
        <v>3.6090879362321009E-3</v>
      </c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spans="1:24" x14ac:dyDescent="0.25">
      <c r="A123" s="87"/>
      <c r="B123" s="4">
        <f>IF(B122-D122+G122-(B122*($B$10+$H$10))+(C122*($C$10))&lt;0,0,B122-D122+G122-(B122*($B$10+$H$10))+(C122*($C$10)))</f>
        <v>27.656930429153938</v>
      </c>
      <c r="C123" s="4">
        <f>IF(C122-E122+H122-(C122*($C$10+$I$10))+(B122*($B$10))&lt;0,0,C122-E122+H122-(C122*($C$10+$I$10))+(B122*($B$10)))</f>
        <v>53.629744937261009</v>
      </c>
      <c r="D123" s="4">
        <f>$D$11*B123</f>
        <v>2.7656930429153941</v>
      </c>
      <c r="E123" s="4">
        <f>$E$11*C123</f>
        <v>8.044461740589151</v>
      </c>
      <c r="F123" s="4">
        <f t="shared" si="39"/>
        <v>109.71162765669249</v>
      </c>
      <c r="G123" s="4">
        <f>$F$11*F122</f>
        <v>2.967044186195638</v>
      </c>
      <c r="H123" s="4">
        <f>$G$11*F122</f>
        <v>4.9450736436593976</v>
      </c>
      <c r="I123" s="4">
        <f>$H$11*B123+$I$11*C123</f>
        <v>0.55313860858307873</v>
      </c>
      <c r="J123" s="4">
        <f t="shared" si="40"/>
        <v>0.86327028339484191</v>
      </c>
      <c r="K123" s="27">
        <f t="shared" si="38"/>
        <v>1.0620071241731673E-2</v>
      </c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 spans="1:24" x14ac:dyDescent="0.25">
      <c r="A124" s="87"/>
      <c r="B124" s="4">
        <f>IF(B123-D123+G123-(B123*($B$11+$H$11))+(C123*($C$11))&lt;0,0,B123-D123+G123-(B123*($B$11+$H$11))+(C123*($C$11)))</f>
        <v>25.200746241705637</v>
      </c>
      <c r="C124" s="4">
        <f>IF(C123-E123+H123-(C123*($C$11+$I$11))+(B123*($B$11))&lt;0,0,C123-E123+H123-(C123*($C$11+$I$11))+(B123*($B$11)))</f>
        <v>52.634753562476725</v>
      </c>
      <c r="D124" s="4">
        <f>$D$12*B124</f>
        <v>2.5200746241705638</v>
      </c>
      <c r="E124" s="4">
        <f>$E$12*C124</f>
        <v>7.8952130343715083</v>
      </c>
      <c r="F124" s="4">
        <f t="shared" si="39"/>
        <v>120.12691531523456</v>
      </c>
      <c r="G124" s="4">
        <f>$F$12*F123</f>
        <v>3.2913488297007745</v>
      </c>
      <c r="H124" s="4">
        <f>$G$12*F123</f>
        <v>5.4855813828346243</v>
      </c>
      <c r="I124" s="4">
        <f>$H$12*B124+$I$12*C124</f>
        <v>3.7801119362558455</v>
      </c>
      <c r="J124" s="4">
        <f t="shared" si="40"/>
        <v>4.6433822196506878</v>
      </c>
      <c r="K124" s="27">
        <f t="shared" si="38"/>
        <v>5.9656355150701855E-2</v>
      </c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1:24" x14ac:dyDescent="0.25">
      <c r="A125" s="87"/>
      <c r="B125" s="4">
        <f>IF(B124-D124+G124-(B124*($B$12+$H$12))+(C124*($C$12))&lt;0,0,B124-D124+G124-(B124*($B$12+$H$12))+(C124*($C$12)))</f>
        <v>20.399174919550092</v>
      </c>
      <c r="C125" s="4">
        <f>IF(C124-E124+H124-(C124*($C$12+$I$12))+(B124*($B$12))&lt;0,0,C124-E124+H124-(C124*($C$12+$I$12))+(B124*($B$12)))</f>
        <v>52.017855502369741</v>
      </c>
      <c r="D125" s="4">
        <f>$D$13*B125</f>
        <v>2.0399174919550092</v>
      </c>
      <c r="E125" s="4">
        <f>$E$13*C125</f>
        <v>7.802678325355461</v>
      </c>
      <c r="F125" s="4">
        <f t="shared" si="39"/>
        <v>129.96951113254502</v>
      </c>
      <c r="G125" s="4">
        <f>$F$13*F124</f>
        <v>3.6038074594570366</v>
      </c>
      <c r="H125" s="4">
        <f>$G$13*F124</f>
        <v>6.0063457657617283</v>
      </c>
      <c r="I125" s="4">
        <f>$H$13*B125+$I$13*C125</f>
        <v>3.0598762379325137</v>
      </c>
      <c r="J125" s="4">
        <f t="shared" si="40"/>
        <v>7.7032584575832015</v>
      </c>
      <c r="K125" s="27">
        <f t="shared" si="38"/>
        <v>0.10637357556229633</v>
      </c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1:24" x14ac:dyDescent="0.25">
      <c r="A126" s="87"/>
      <c r="B126" s="4">
        <f>IF(B125-D125+G125-(B125*($B$13+$H$13))+(C125*($C$13))&lt;0,0,B125-D125+G125-(B125*($B$13+$H$13))+(C125*($C$13)))</f>
        <v>18.189213472687054</v>
      </c>
      <c r="C126" s="4">
        <f>IF(C125-E125+H125-(C125*($C$13+$I$13))+(B125*($B$13))&lt;0,0,C125-E125+H125-(C125*($C$13+$I$13))+(B125*($B$13)))</f>
        <v>50.93549811920856</v>
      </c>
      <c r="D126" s="4">
        <f>$D$14*B126</f>
        <v>1.8189213472687056</v>
      </c>
      <c r="E126" s="4">
        <f>$E$14*C126</f>
        <v>7.6403247178812839</v>
      </c>
      <c r="F126" s="4">
        <f t="shared" si="39"/>
        <v>139.42875719769501</v>
      </c>
      <c r="G126" s="4">
        <f>$F$14*F125</f>
        <v>3.8990853339763505</v>
      </c>
      <c r="H126" s="4">
        <f>$G$14*F125</f>
        <v>6.4984755566272518</v>
      </c>
      <c r="I126" s="4">
        <f>$H$14*B126+$I$14*C126</f>
        <v>4.2564469644793146</v>
      </c>
      <c r="J126" s="4">
        <f t="shared" si="40"/>
        <v>11.959705422062516</v>
      </c>
      <c r="K126" s="27">
        <f t="shared" si="38"/>
        <v>0.17301635184637365</v>
      </c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1:24" x14ac:dyDescent="0.25">
      <c r="A127" s="87"/>
      <c r="B127" s="4">
        <f>IF(B126-D126+G126-(B126*($B$13+$H$13))+(C126*($C$13))&lt;0,0,B126-D126+G126-(B126*($B$13+$H$13))+(C126*($C$13)))</f>
        <v>17.359673343333252</v>
      </c>
      <c r="C127" s="4">
        <f>IF(C126-E126+H126-(C126*($C$14+$I$14))+(B126*($B$14))&lt;0,0,C126-E126+H126-(C126*($C$14+$I$14))+(B126*($B$14)))</f>
        <v>48.628798244263535</v>
      </c>
      <c r="D127" s="4">
        <f>$D$15*B127</f>
        <v>1.7359673343333253</v>
      </c>
      <c r="E127" s="4">
        <f>$E$15*C127</f>
        <v>7.2943197366395296</v>
      </c>
      <c r="F127" s="4">
        <f t="shared" si="39"/>
        <v>148.45904426866787</v>
      </c>
      <c r="G127" s="4">
        <f>$F$15*F126</f>
        <v>4.1828627159308498</v>
      </c>
      <c r="H127" s="4">
        <f>$G$15*F126</f>
        <v>6.9714378598847508</v>
      </c>
      <c r="I127" s="4">
        <f>$H$15*B127+$I$15*C127</f>
        <v>4.5491029312705287</v>
      </c>
      <c r="J127" s="4">
        <f t="shared" si="40"/>
        <v>16.508808353333045</v>
      </c>
      <c r="K127" s="27">
        <f t="shared" si="38"/>
        <v>0.25017715907267724</v>
      </c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 spans="1:24" x14ac:dyDescent="0.25">
      <c r="A128" s="72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9" t="s">
        <v>126</v>
      </c>
      <c r="M128" s="8"/>
      <c r="N128" s="9" t="str">
        <f>"Coninuing Since  "&amp;$A$18</f>
        <v>Coninuing Since  New Fall 21</v>
      </c>
      <c r="O128" s="8"/>
      <c r="P128" s="8"/>
      <c r="Q128" s="11" t="s">
        <v>127</v>
      </c>
      <c r="R128" s="13"/>
      <c r="S128" s="13"/>
      <c r="T128" s="13"/>
      <c r="U128" s="13"/>
      <c r="V128" s="13"/>
      <c r="W128" s="13"/>
      <c r="X128" s="13"/>
    </row>
    <row r="129" spans="1:24" x14ac:dyDescent="0.25">
      <c r="A129" s="11" t="str">
        <f>$A$17</f>
        <v>Semester</v>
      </c>
      <c r="B129" s="12" t="s">
        <v>82</v>
      </c>
      <c r="C129" s="12" t="s">
        <v>83</v>
      </c>
      <c r="D129" s="12" t="s">
        <v>93</v>
      </c>
      <c r="E129" s="12" t="s">
        <v>92</v>
      </c>
      <c r="F129" s="12" t="s">
        <v>84</v>
      </c>
      <c r="G129" s="12" t="s">
        <v>94</v>
      </c>
      <c r="H129" s="12" t="s">
        <v>95</v>
      </c>
      <c r="I129" s="12" t="s">
        <v>81</v>
      </c>
      <c r="J129" s="12" t="s">
        <v>85</v>
      </c>
      <c r="K129" s="12" t="s">
        <v>96</v>
      </c>
      <c r="L129" s="12" t="s">
        <v>100</v>
      </c>
      <c r="M129" s="12" t="s">
        <v>101</v>
      </c>
      <c r="N129" s="12" t="s">
        <v>100</v>
      </c>
      <c r="O129" s="12" t="s">
        <v>101</v>
      </c>
      <c r="P129" s="12" t="s">
        <v>100</v>
      </c>
      <c r="Q129" s="12" t="s">
        <v>101</v>
      </c>
      <c r="R129" s="13"/>
      <c r="S129" s="13"/>
      <c r="T129" s="13"/>
      <c r="U129" s="13"/>
      <c r="V129" s="13"/>
      <c r="W129" s="13"/>
      <c r="X129" s="13"/>
    </row>
    <row r="130" spans="1:24" x14ac:dyDescent="0.25">
      <c r="A130" s="11" t="str">
        <f>"New "&amp;$A$26</f>
        <v>New Fall 25</v>
      </c>
      <c r="B130" s="80">
        <f>Enrollment!K3</f>
        <v>307.39072319999997</v>
      </c>
      <c r="C130" s="80">
        <f>Enrollment!K5</f>
        <v>76.847680799999992</v>
      </c>
      <c r="D130" s="4">
        <f>$D$4*B130</f>
        <v>30.739072319999998</v>
      </c>
      <c r="E130" s="4">
        <f>$E$4*C130</f>
        <v>11.527152119999998</v>
      </c>
      <c r="F130" s="4">
        <f>D130+E130</f>
        <v>42.266224439999995</v>
      </c>
      <c r="G130" s="4">
        <v>0</v>
      </c>
      <c r="H130" s="4">
        <v>0</v>
      </c>
      <c r="I130" s="4">
        <f>$H$4*B130+$I$4*C130</f>
        <v>0</v>
      </c>
      <c r="J130" s="4">
        <f>I130</f>
        <v>0</v>
      </c>
      <c r="K130" s="27">
        <f>J130/(B130+C130)</f>
        <v>0</v>
      </c>
      <c r="L130" s="4">
        <f>L184</f>
        <v>146.29490743472286</v>
      </c>
      <c r="M130" s="4">
        <f>M184</f>
        <v>396.35217988702362</v>
      </c>
      <c r="N130" s="6">
        <f>B117+B104+B92+B79+B66+B53+B40+B27</f>
        <v>568.87844507237605</v>
      </c>
      <c r="O130" s="6">
        <f>C117+C104+C92+C79+C66+C53+C40+C27</f>
        <v>762.48492292017988</v>
      </c>
      <c r="P130" s="6">
        <f>L130+N130</f>
        <v>715.17335250709891</v>
      </c>
      <c r="Q130" s="6">
        <f>M130+O130</f>
        <v>1158.8371028072036</v>
      </c>
      <c r="R130" s="13"/>
      <c r="S130" s="13"/>
      <c r="T130" s="13"/>
      <c r="U130" s="13"/>
      <c r="V130" s="13"/>
      <c r="W130" s="13"/>
      <c r="X130" s="13"/>
    </row>
    <row r="131" spans="1:24" x14ac:dyDescent="0.25">
      <c r="A131" s="11" t="str">
        <f>$A$27</f>
        <v>Spring 26</v>
      </c>
      <c r="B131" s="4">
        <f>IF(B130-D130+G130-(B130*($B$4+$H$4))+(C130*($C$4))&lt;0,0,B130-D130+G130-(B130*($B$4+$H$4))+(C130*($C$4)))</f>
        <v>222.85827431999999</v>
      </c>
      <c r="C131" s="4">
        <f>IF(C130-E130+H130-(C130*($C$4+$I$4))+(B130*($B$4))&lt;0,0,C130-E130+H130-(C130*($C$4+$I$4))+(B130*($B$4)))</f>
        <v>119.11390523999999</v>
      </c>
      <c r="D131" s="4">
        <f>$D$5*B131</f>
        <v>22.285827432000001</v>
      </c>
      <c r="E131" s="4">
        <f>$E$5*C131</f>
        <v>17.867085785999997</v>
      </c>
      <c r="F131" s="4">
        <f>F130+D131+E131</f>
        <v>82.419137657999983</v>
      </c>
      <c r="G131" s="4">
        <f>$F$5*F130</f>
        <v>0.42266224439999994</v>
      </c>
      <c r="H131" s="4">
        <f>$G$5*F130</f>
        <v>0.84532448879999988</v>
      </c>
      <c r="I131" s="4">
        <f>$H$5*B131+$I$5*C131</f>
        <v>0</v>
      </c>
      <c r="J131" s="4">
        <f>J130+I131</f>
        <v>0</v>
      </c>
      <c r="K131" s="27">
        <f t="shared" ref="K131:K141" si="41">J131/(B131+C131)</f>
        <v>0</v>
      </c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 spans="1:24" x14ac:dyDescent="0.25">
      <c r="A132" s="11" t="str">
        <f>"New "&amp;$A$28</f>
        <v>New Fall 26</v>
      </c>
      <c r="B132" s="4">
        <f>IF(B131-D131+G131-(B131*($B$5+$H$5))+(C131*($C$5))&lt;0,0,B131-D131+G131-(B131*($B$5+$H$5))+(C131*($C$5)))</f>
        <v>166.10626204920001</v>
      </c>
      <c r="C132" s="4">
        <f>IF(C131-E131+H131-(C131*($C$5+$I$5))+(B131*($B$5))&lt;0,0,C131-E131+H131-(C131*($C$5+$I$5))+(B131*($B$5)))</f>
        <v>136.980991026</v>
      </c>
      <c r="D132" s="4">
        <f>$D$6*B132</f>
        <v>16.610626204920003</v>
      </c>
      <c r="E132" s="4">
        <f>$E$6*C132</f>
        <v>20.547148653899999</v>
      </c>
      <c r="F132" s="4">
        <f t="shared" ref="F132:F141" si="42">F131+D132+E132</f>
        <v>119.57691251681999</v>
      </c>
      <c r="G132" s="4">
        <f>$F$6*F131</f>
        <v>1.6483827531599997</v>
      </c>
      <c r="H132" s="4">
        <f>$G$6*F131</f>
        <v>2.4725741297399995</v>
      </c>
      <c r="I132" s="4">
        <f>$H$6*B132+$I$6*C132</f>
        <v>0</v>
      </c>
      <c r="J132" s="4">
        <f t="shared" ref="J132:J141" si="43">J131+I132</f>
        <v>0</v>
      </c>
      <c r="K132" s="27">
        <f t="shared" si="41"/>
        <v>0</v>
      </c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 spans="1:24" x14ac:dyDescent="0.25">
      <c r="A133" s="11" t="str">
        <f>$A$29</f>
        <v>Spring 27</v>
      </c>
      <c r="B133" s="4">
        <f>IF(B132-D132+G132-(B132*($B$6+$H$6))+(C132*($C$6))&lt;0,0,B132-D132+G132-(B132*($B$6+$H$6))+(C132*($C$6)))</f>
        <v>128.29874004921601</v>
      </c>
      <c r="C133" s="4">
        <f>IF(C132-E132+H132-(C132*($C$6+$I$6))+(B132*($B$6))&lt;0,0,C132-E132+H132-(C132*($C$6+$I$6))+(B132*($B$6)))</f>
        <v>141.751695050064</v>
      </c>
      <c r="D133" s="4">
        <f>$D$7*B133</f>
        <v>12.829874004921601</v>
      </c>
      <c r="E133" s="4">
        <f>$E$7*C133</f>
        <v>21.262754257509599</v>
      </c>
      <c r="F133" s="4">
        <f t="shared" si="42"/>
        <v>153.66954077925118</v>
      </c>
      <c r="G133" s="4">
        <f>$F$7*F132</f>
        <v>3.5873073755045994</v>
      </c>
      <c r="H133" s="4">
        <f>$G$7*F132</f>
        <v>4.7830765006727995</v>
      </c>
      <c r="I133" s="4">
        <f>$H$7*B133+$I$7*C133</f>
        <v>0</v>
      </c>
      <c r="J133" s="4">
        <f t="shared" si="43"/>
        <v>0</v>
      </c>
      <c r="K133" s="27">
        <f t="shared" si="41"/>
        <v>0</v>
      </c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1:24" x14ac:dyDescent="0.25">
      <c r="A134" s="87"/>
      <c r="B134" s="4">
        <f>IF(B133-D133+G133-(B133*($B$7+$H$7))+(C133*($C$7))&lt;0,0,B133-D133+G133-(B133*($B$7+$H$7))+(C133*($C$7)))</f>
        <v>103.72263271348572</v>
      </c>
      <c r="C134" s="4">
        <f>IF(C133-E133+H133-(C133*($C$7+$I$7))+(B133*($B$7))&lt;0,0,C133-E133+H133-(C133*($C$7+$I$7))+(B133*($B$7)))</f>
        <v>140.60555799954048</v>
      </c>
      <c r="D134" s="4">
        <f>$D$8*B134</f>
        <v>10.372263271348572</v>
      </c>
      <c r="E134" s="4">
        <f>$E$8*C134</f>
        <v>21.090833699931071</v>
      </c>
      <c r="F134" s="4">
        <f t="shared" si="42"/>
        <v>185.13263775053082</v>
      </c>
      <c r="G134" s="4">
        <f>$F$8*F133</f>
        <v>4.610086223377535</v>
      </c>
      <c r="H134" s="4">
        <f>$G$8*F133</f>
        <v>7.6834770389625593</v>
      </c>
      <c r="I134" s="4">
        <f>$H$8*B134+$I$8*C134</f>
        <v>0</v>
      </c>
      <c r="J134" s="4">
        <f t="shared" si="43"/>
        <v>0</v>
      </c>
      <c r="K134" s="27">
        <f t="shared" si="41"/>
        <v>0</v>
      </c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1:24" x14ac:dyDescent="0.25">
      <c r="A135" s="87"/>
      <c r="B135" s="4">
        <f>IF(B134-D134+G134-(B134*($B$8+$H$8))+(C134*($C$8))&lt;0,0,B134-D134+G134-(B134*($B$8+$H$8))+(C134*($C$8)))</f>
        <v>87.127579614232161</v>
      </c>
      <c r="C135" s="4">
        <f>IF(C134-E134+H134-(C134*($C$8+$I$8))+(B134*($B$8))&lt;0,0,C134-E134+H134-(C134*($C$8+$I$8))+(B134*($B$8)))</f>
        <v>138.03107738985452</v>
      </c>
      <c r="D135" s="4">
        <f>$D$9*B135</f>
        <v>8.7127579614232165</v>
      </c>
      <c r="E135" s="4">
        <f>$E$9*C135</f>
        <v>20.704661608478176</v>
      </c>
      <c r="F135" s="4">
        <f t="shared" si="42"/>
        <v>214.55005732043222</v>
      </c>
      <c r="G135" s="4">
        <f>$F$9*F134</f>
        <v>5.5539791325159245</v>
      </c>
      <c r="H135" s="4">
        <f>$G$9*F134</f>
        <v>9.2566318875265416</v>
      </c>
      <c r="I135" s="4">
        <f>$H$9*B135+$I$9*C135</f>
        <v>0</v>
      </c>
      <c r="J135" s="4">
        <f t="shared" si="43"/>
        <v>0</v>
      </c>
      <c r="K135" s="27">
        <f t="shared" si="41"/>
        <v>0</v>
      </c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1:24" x14ac:dyDescent="0.25">
      <c r="A136" s="87"/>
      <c r="B136" s="4">
        <f>IF(B135-D135+G135-(B135*($B$9+$H$9))+(C135*($C$9))&lt;0,0,B135-D135+G135-(B135*($B$9+$H$9))+(C135*($C$9)))</f>
        <v>75.990013620752279</v>
      </c>
      <c r="C136" s="4">
        <f>IF(C135-E135+H135-(C135*($C$9+$I$9))+(B135*($B$9))&lt;0,0,C135-E135+H135-(C135*($C$9+$I$9))+(B135*($B$9)))</f>
        <v>134.56183483347547</v>
      </c>
      <c r="D136" s="4">
        <f>$D$10*B136</f>
        <v>7.5990013620752279</v>
      </c>
      <c r="E136" s="4">
        <f>$E$10*C136</f>
        <v>20.18427522502132</v>
      </c>
      <c r="F136" s="4">
        <f t="shared" si="42"/>
        <v>242.33333390752875</v>
      </c>
      <c r="G136" s="4">
        <f>$F$10*F135</f>
        <v>6.4365017196129664</v>
      </c>
      <c r="H136" s="4">
        <f>$G$10*F135</f>
        <v>10.727502866021611</v>
      </c>
      <c r="I136" s="4">
        <f>$H$10*B136+$I$10*C136</f>
        <v>0.75990013620752284</v>
      </c>
      <c r="J136" s="4">
        <f t="shared" si="43"/>
        <v>0.75990013620752284</v>
      </c>
      <c r="K136" s="27">
        <f t="shared" si="41"/>
        <v>3.6090879362321005E-3</v>
      </c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 spans="1:24" x14ac:dyDescent="0.25">
      <c r="A137" s="87"/>
      <c r="B137" s="4">
        <f>IF(B136-D136+G136-(B136*($B$10+$H$10))+(C136*($C$10))&lt;0,0,B136-D136+G136-(B136*($B$10+$H$10))+(C136*($C$10)))</f>
        <v>67.766393784034449</v>
      </c>
      <c r="C137" s="4">
        <f>IF(C136-E136+H136-(C136*($C$10+$I$10))+(B136*($B$10))&lt;0,0,C136-E136+H136-(C136*($C$10+$I$10))+(B136*($B$10)))</f>
        <v>131.40628253252382</v>
      </c>
      <c r="D137" s="4">
        <f>$D$11*B137</f>
        <v>6.7766393784034449</v>
      </c>
      <c r="E137" s="4">
        <f>$E$11*C137</f>
        <v>19.710942379878571</v>
      </c>
      <c r="F137" s="4">
        <f t="shared" si="42"/>
        <v>268.82091566581079</v>
      </c>
      <c r="G137" s="4">
        <f>$F$11*F136</f>
        <v>7.2700000172258621</v>
      </c>
      <c r="H137" s="4">
        <f>$G$11*F136</f>
        <v>12.116666695376438</v>
      </c>
      <c r="I137" s="4">
        <f>$H$11*B137+$I$11*C137</f>
        <v>1.355327875680689</v>
      </c>
      <c r="J137" s="4">
        <f t="shared" si="43"/>
        <v>2.1152280118882119</v>
      </c>
      <c r="K137" s="27">
        <f t="shared" si="41"/>
        <v>1.0620071241731675E-2</v>
      </c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1:24" x14ac:dyDescent="0.25">
      <c r="A138" s="87"/>
      <c r="B138" s="4">
        <f>IF(B137-D137+G137-(B137*($B$11+$H$11))+(C137*($C$11))&lt;0,0,B137-D137+G137-(B137*($B$11+$H$11))+(C137*($C$11)))</f>
        <v>61.748128478739261</v>
      </c>
      <c r="C138" s="4">
        <f>IF(C137-E137+H137-(C137*($C$11+$I$11))+(B137*($B$11))&lt;0,0,C137-E137+H137-(C137*($C$11+$I$11))+(B137*($B$11)))</f>
        <v>128.96830491645861</v>
      </c>
      <c r="D138" s="4">
        <f>$D$12*B138</f>
        <v>6.1748128478739268</v>
      </c>
      <c r="E138" s="4">
        <f>$E$12*C138</f>
        <v>19.34524573746879</v>
      </c>
      <c r="F138" s="4">
        <f t="shared" si="42"/>
        <v>294.34097425115351</v>
      </c>
      <c r="G138" s="4">
        <f>$F$12*F137</f>
        <v>8.0646274699743241</v>
      </c>
      <c r="H138" s="4">
        <f>$G$12*F137</f>
        <v>13.441045783290541</v>
      </c>
      <c r="I138" s="4">
        <f>$H$12*B138+$I$12*C138</f>
        <v>9.2622192718108884</v>
      </c>
      <c r="J138" s="4">
        <f t="shared" si="43"/>
        <v>11.3774472836991</v>
      </c>
      <c r="K138" s="27">
        <f t="shared" si="41"/>
        <v>5.9656355150701855E-2</v>
      </c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1:24" x14ac:dyDescent="0.25">
      <c r="A139" s="87"/>
      <c r="B139" s="4">
        <f>IF(B138-D138+G138-(B138*($B$12+$H$12))+(C138*($C$12))&lt;0,0,B138-D138+G138-(B138*($B$12+$H$12))+(C138*($C$12)))</f>
        <v>49.983078346627636</v>
      </c>
      <c r="C139" s="4">
        <f>IF(C138-E138+H138-(C138*($C$12+$I$12))+(B138*($B$12))&lt;0,0,C138-E138+H138-(C138*($C$12+$I$12))+(B138*($B$12)))</f>
        <v>127.4567504446815</v>
      </c>
      <c r="D139" s="4">
        <f>$D$13*B139</f>
        <v>4.9983078346627643</v>
      </c>
      <c r="E139" s="4">
        <f>$E$13*C139</f>
        <v>19.118512566702226</v>
      </c>
      <c r="F139" s="4">
        <f t="shared" si="42"/>
        <v>318.45779465251849</v>
      </c>
      <c r="G139" s="4">
        <f>$F$13*F138</f>
        <v>8.8302292275346055</v>
      </c>
      <c r="H139" s="4">
        <f>$G$13*F138</f>
        <v>14.717048712557677</v>
      </c>
      <c r="I139" s="4">
        <f>$H$13*B139+$I$13*C139</f>
        <v>7.4974617519941447</v>
      </c>
      <c r="J139" s="4">
        <f t="shared" si="43"/>
        <v>18.874909035693243</v>
      </c>
      <c r="K139" s="27">
        <f t="shared" si="41"/>
        <v>0.1063735755622963</v>
      </c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 spans="1:24" x14ac:dyDescent="0.25">
      <c r="A140" s="87"/>
      <c r="B140" s="4">
        <f>IF(B139-D139+G139-(B139*($B$13+$H$13))+(C139*($C$13))&lt;0,0,B139-D139+G139-(B139*($B$13+$H$13))+(C139*($C$13)))</f>
        <v>44.568120311451466</v>
      </c>
      <c r="C140" s="4">
        <f>IF(C139-E139+H139-(C139*($C$13+$I$13))+(B139*($B$13))&lt;0,0,C139-E139+H139-(C139*($C$13+$I$13))+(B139*($B$13)))</f>
        <v>124.8047042665908</v>
      </c>
      <c r="D140" s="4">
        <f>$D$14*B140</f>
        <v>4.4568120311451471</v>
      </c>
      <c r="E140" s="4">
        <f>$E$14*C140</f>
        <v>18.720705639988619</v>
      </c>
      <c r="F140" s="4">
        <f t="shared" si="42"/>
        <v>341.63531232365227</v>
      </c>
      <c r="G140" s="4">
        <f>$F$14*F139</f>
        <v>9.5537338395755551</v>
      </c>
      <c r="H140" s="4">
        <f>$G$14*F139</f>
        <v>15.922889732625926</v>
      </c>
      <c r="I140" s="4">
        <f>$H$14*B140+$I$14*C140</f>
        <v>10.429359174715444</v>
      </c>
      <c r="J140" s="4">
        <f t="shared" si="43"/>
        <v>29.304268210408686</v>
      </c>
      <c r="K140" s="27">
        <f t="shared" si="41"/>
        <v>0.17301635184637368</v>
      </c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 spans="1:24" x14ac:dyDescent="0.25">
      <c r="A141" s="87"/>
      <c r="B141" s="4">
        <f>IF(B140-D140+G140-(B140*($B$13+$H$13))+(C140*($C$13))&lt;0,0,B140-D140+G140-(B140*($B$13+$H$13))+(C140*($C$13)))</f>
        <v>42.535539609502315</v>
      </c>
      <c r="C141" s="4">
        <f>IF(C140-E140+H140-(C140*($C$14+$I$14))+(B140*($B$14))&lt;0,0,C140-E140+H140-(C140*($C$14+$I$14))+(B140*($B$14)))</f>
        <v>119.15271289800674</v>
      </c>
      <c r="D141" s="4">
        <f>$D$15*B141</f>
        <v>4.2535539609502315</v>
      </c>
      <c r="E141" s="4">
        <f>$E$15*C141</f>
        <v>17.87290693470101</v>
      </c>
      <c r="F141" s="4">
        <f t="shared" si="42"/>
        <v>363.76177321930351</v>
      </c>
      <c r="G141" s="4">
        <f>$F$15*F140</f>
        <v>10.249059369709569</v>
      </c>
      <c r="H141" s="4">
        <f>$G$15*F140</f>
        <v>17.081765616182615</v>
      </c>
      <c r="I141" s="4">
        <f>$H$15*B141+$I$15*C141</f>
        <v>11.146439457345618</v>
      </c>
      <c r="J141" s="4">
        <f t="shared" si="43"/>
        <v>40.450707667754301</v>
      </c>
      <c r="K141" s="27">
        <f t="shared" si="41"/>
        <v>0.25017715907267729</v>
      </c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 spans="1:24" x14ac:dyDescent="0.25">
      <c r="A142" s="72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9" t="s">
        <v>126</v>
      </c>
      <c r="M142" s="8"/>
      <c r="N142" s="9" t="str">
        <f>"Coninuing Since  "&amp;$A$18</f>
        <v>Coninuing Since  New Fall 21</v>
      </c>
      <c r="O142" s="8"/>
      <c r="P142" s="8"/>
      <c r="Q142" s="11" t="s">
        <v>127</v>
      </c>
      <c r="R142" s="13"/>
      <c r="S142" s="13"/>
      <c r="T142" s="13"/>
      <c r="U142" s="13"/>
      <c r="V142" s="13"/>
      <c r="W142" s="13"/>
      <c r="X142" s="13"/>
    </row>
    <row r="143" spans="1:24" x14ac:dyDescent="0.25">
      <c r="A143" s="11" t="str">
        <f>$A$17</f>
        <v>Semester</v>
      </c>
      <c r="B143" s="12" t="s">
        <v>82</v>
      </c>
      <c r="C143" s="12" t="s">
        <v>83</v>
      </c>
      <c r="D143" s="12" t="s">
        <v>93</v>
      </c>
      <c r="E143" s="12" t="s">
        <v>92</v>
      </c>
      <c r="F143" s="12" t="s">
        <v>84</v>
      </c>
      <c r="G143" s="12" t="s">
        <v>94</v>
      </c>
      <c r="H143" s="12" t="s">
        <v>95</v>
      </c>
      <c r="I143" s="12" t="s">
        <v>81</v>
      </c>
      <c r="J143" s="12" t="s">
        <v>85</v>
      </c>
      <c r="K143" s="12" t="s">
        <v>96</v>
      </c>
      <c r="L143" s="12" t="s">
        <v>100</v>
      </c>
      <c r="M143" s="12" t="s">
        <v>101</v>
      </c>
      <c r="N143" s="12" t="s">
        <v>100</v>
      </c>
      <c r="O143" s="12" t="s">
        <v>101</v>
      </c>
      <c r="P143" s="12" t="s">
        <v>100</v>
      </c>
      <c r="Q143" s="12" t="s">
        <v>101</v>
      </c>
      <c r="R143" s="13"/>
      <c r="S143" s="13"/>
      <c r="T143" s="13"/>
      <c r="U143" s="13"/>
      <c r="V143" s="13"/>
      <c r="W143" s="13"/>
      <c r="X143" s="13"/>
    </row>
    <row r="144" spans="1:24" x14ac:dyDescent="0.25">
      <c r="A144" s="11" t="str">
        <f>"New "&amp;$A$27</f>
        <v>New Spring 26</v>
      </c>
      <c r="B144" s="80">
        <f>Enrollment!L3</f>
        <v>122.95628927999999</v>
      </c>
      <c r="C144" s="80">
        <f>Enrollment!L5</f>
        <v>30.739072319999998</v>
      </c>
      <c r="D144" s="4">
        <f>$D$4*B144</f>
        <v>12.295628927999999</v>
      </c>
      <c r="E144" s="4">
        <f>$E$4*C144</f>
        <v>4.6108608479999997</v>
      </c>
      <c r="F144" s="4">
        <f>D144+E144</f>
        <v>16.906489776000001</v>
      </c>
      <c r="G144" s="4">
        <v>0</v>
      </c>
      <c r="H144" s="4">
        <v>0</v>
      </c>
      <c r="I144" s="4">
        <f>$H$4*B144+$I$4*C144</f>
        <v>0</v>
      </c>
      <c r="J144" s="4">
        <f>I144</f>
        <v>0</v>
      </c>
      <c r="K144" s="27">
        <f>J144/(B144+C144)</f>
        <v>0</v>
      </c>
      <c r="L144" s="4">
        <f>L185</f>
        <v>92.947819181728988</v>
      </c>
      <c r="M144" s="4">
        <f>M185</f>
        <v>260.33071126214656</v>
      </c>
      <c r="N144" s="6">
        <f>B131+B118+B105+B93+B80+B67+B54+B41+StuFlow!B28</f>
        <v>692.12030840754267</v>
      </c>
      <c r="O144" s="6">
        <f>C131+C118+C105+C93+C80+C67+C54+C41+StuFlow!C28</f>
        <v>881.91556186155913</v>
      </c>
      <c r="P144" s="6">
        <f>L144+N144</f>
        <v>785.06812758927163</v>
      </c>
      <c r="Q144" s="6">
        <f>M144+O144</f>
        <v>1142.2462731237056</v>
      </c>
      <c r="R144" s="13"/>
      <c r="S144" s="13"/>
      <c r="T144" s="13"/>
      <c r="U144" s="13"/>
      <c r="V144" s="13"/>
      <c r="W144" s="13"/>
      <c r="X144" s="13"/>
    </row>
    <row r="145" spans="1:24" x14ac:dyDescent="0.25">
      <c r="A145" s="11" t="str">
        <f>$A$28</f>
        <v>Fall 26</v>
      </c>
      <c r="B145" s="4">
        <f>IF(B144-D144+G144-(B144*($B$4+$H$4))+(C144*($C$4))&lt;0,0,B144-D144+G144-(B144*($B$4+$H$4))+(C144*($C$4)))</f>
        <v>89.143309727999991</v>
      </c>
      <c r="C145" s="4">
        <f>IF(C144-E144+H144-(C144*($C$4+$I$4))+(B144*($B$4))&lt;0,0,C144-E144+H144-(C144*($C$4+$I$4))+(B144*($B$4)))</f>
        <v>47.645562095999992</v>
      </c>
      <c r="D145" s="4">
        <f>$D$5*B145</f>
        <v>8.9143309728000002</v>
      </c>
      <c r="E145" s="4">
        <f>$E$5*C145</f>
        <v>7.1468343143999986</v>
      </c>
      <c r="F145" s="4">
        <f>F144+D145+E145</f>
        <v>32.967655063199999</v>
      </c>
      <c r="G145" s="4">
        <f>$F$5*F144</f>
        <v>0.16906489776</v>
      </c>
      <c r="H145" s="4">
        <f>$G$5*F144</f>
        <v>0.33812979552</v>
      </c>
      <c r="I145" s="4">
        <f>$H$5*B145+$I$5*C145</f>
        <v>0</v>
      </c>
      <c r="J145" s="4">
        <f>J144+I145</f>
        <v>0</v>
      </c>
      <c r="K145" s="27">
        <f t="shared" ref="K145:K155" si="44">J145/(B145+C145)</f>
        <v>0</v>
      </c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</row>
    <row r="146" spans="1:24" x14ac:dyDescent="0.25">
      <c r="A146" s="11" t="str">
        <f>$A$29</f>
        <v>Spring 27</v>
      </c>
      <c r="B146" s="4">
        <f>IF(B145-D145+G145-(B145*($B$5+$H$5))+(C145*($C$5))&lt;0,0,B145-D145+G145-(B145*($B$5+$H$5))+(C145*($C$5)))</f>
        <v>66.442504819679982</v>
      </c>
      <c r="C146" s="4">
        <f>IF(C145-E145+H145-(C145*($C$5+$I$5))+(B145*($B$5))&lt;0,0,C145-E145+H145-(C145*($C$5+$I$5))+(B145*($B$5)))</f>
        <v>54.792396410399988</v>
      </c>
      <c r="D146" s="4">
        <f>$D$6*B146</f>
        <v>6.6442504819679984</v>
      </c>
      <c r="E146" s="4">
        <f>$E$6*C146</f>
        <v>8.2188594615599975</v>
      </c>
      <c r="F146" s="4">
        <f t="shared" ref="F146:F155" si="45">F145+D146+E146</f>
        <v>47.830765006728001</v>
      </c>
      <c r="G146" s="4">
        <f>$F$6*F145</f>
        <v>0.65935310126400004</v>
      </c>
      <c r="H146" s="4">
        <f>$G$6*F145</f>
        <v>0.9890296518959999</v>
      </c>
      <c r="I146" s="4">
        <f>$H$6*B146+$I$6*C146</f>
        <v>0</v>
      </c>
      <c r="J146" s="4">
        <f t="shared" ref="J146:J155" si="46">J145+I146</f>
        <v>0</v>
      </c>
      <c r="K146" s="27">
        <f t="shared" si="44"/>
        <v>0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</row>
    <row r="147" spans="1:24" x14ac:dyDescent="0.25">
      <c r="A147" s="87"/>
      <c r="B147" s="4">
        <f>IF(B146-D146+G146-(B146*($B$6+$H$6))+(C146*($C$6))&lt;0,0,B146-D146+G146-(B146*($B$6+$H$6))+(C146*($C$6)))</f>
        <v>51.319496019686383</v>
      </c>
      <c r="C147" s="4">
        <f>IF(C146-E146+H146-(C146*($C$6+$I$6))+(B146*($B$6))&lt;0,0,C146-E146+H146-(C146*($C$6+$I$6))+(B146*($B$6)))</f>
        <v>56.700678020025578</v>
      </c>
      <c r="D147" s="4">
        <f>$D$7*B147</f>
        <v>5.131949601968639</v>
      </c>
      <c r="E147" s="4">
        <f>$E$7*C147</f>
        <v>8.5051017030038363</v>
      </c>
      <c r="F147" s="4">
        <f t="shared" si="45"/>
        <v>61.467816311700481</v>
      </c>
      <c r="G147" s="4">
        <f>$F$7*F146</f>
        <v>1.4349229502018399</v>
      </c>
      <c r="H147" s="4">
        <f>$G$7*F146</f>
        <v>1.9132306002691202</v>
      </c>
      <c r="I147" s="4">
        <f>$H$7*B147+$I$7*C147</f>
        <v>0</v>
      </c>
      <c r="J147" s="4">
        <f t="shared" si="46"/>
        <v>0</v>
      </c>
      <c r="K147" s="27">
        <f t="shared" si="44"/>
        <v>0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</row>
    <row r="148" spans="1:24" x14ac:dyDescent="0.25">
      <c r="A148" s="87"/>
      <c r="B148" s="4">
        <f>IF(B147-D147+G147-(B147*($B$7+$H$7))+(C147*($C$7))&lt;0,0,B147-D147+G147-(B147*($B$7+$H$7))+(C147*($C$7)))</f>
        <v>41.489053085394268</v>
      </c>
      <c r="C148" s="4">
        <f>IF(C147-E147+H147-(C147*($C$7+$I$7))+(B147*($B$7))&lt;0,0,C147-E147+H147-(C147*($C$7+$I$7))+(B147*($B$7)))</f>
        <v>56.242223199816173</v>
      </c>
      <c r="D148" s="4">
        <f>$D$8*B148</f>
        <v>4.148905308539427</v>
      </c>
      <c r="E148" s="4">
        <f>$E$8*C148</f>
        <v>8.4363334799724257</v>
      </c>
      <c r="F148" s="4">
        <f t="shared" si="45"/>
        <v>74.053055100212333</v>
      </c>
      <c r="G148" s="4">
        <f>$F$8*F147</f>
        <v>1.8440344893510143</v>
      </c>
      <c r="H148" s="4">
        <f>$G$8*F147</f>
        <v>3.0733908155850242</v>
      </c>
      <c r="I148" s="4">
        <f>$H$8*B148+$I$8*C148</f>
        <v>0</v>
      </c>
      <c r="J148" s="4">
        <f t="shared" si="46"/>
        <v>0</v>
      </c>
      <c r="K148" s="27">
        <f t="shared" si="44"/>
        <v>0</v>
      </c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</row>
    <row r="149" spans="1:24" x14ac:dyDescent="0.25">
      <c r="A149" s="87"/>
      <c r="B149" s="4">
        <f>IF(B148-D148+G148-(B148*($B$8+$H$8))+(C148*($C$8))&lt;0,0,B148-D148+G148-(B148*($B$8+$H$8))+(C148*($C$8)))</f>
        <v>34.851031845692852</v>
      </c>
      <c r="C149" s="4">
        <f>IF(C148-E148+H148-(C148*($C$8+$I$8))+(B148*($B$8))&lt;0,0,C148-E148+H148-(C148*($C$8+$I$8))+(B148*($B$8)))</f>
        <v>55.21243095594177</v>
      </c>
      <c r="D149" s="4">
        <f>$D$9*B149</f>
        <v>3.4851031845692853</v>
      </c>
      <c r="E149" s="4">
        <f>$E$9*C149</f>
        <v>8.2818646433912644</v>
      </c>
      <c r="F149" s="4">
        <f t="shared" si="45"/>
        <v>85.820022928172875</v>
      </c>
      <c r="G149" s="4">
        <f>$F$9*F148</f>
        <v>2.22159165300637</v>
      </c>
      <c r="H149" s="4">
        <f>$G$9*F148</f>
        <v>3.7026527550106167</v>
      </c>
      <c r="I149" s="4">
        <f>$H$9*B149+$I$9*C149</f>
        <v>0</v>
      </c>
      <c r="J149" s="4">
        <f t="shared" si="46"/>
        <v>0</v>
      </c>
      <c r="K149" s="27">
        <f t="shared" si="44"/>
        <v>0</v>
      </c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</row>
    <row r="150" spans="1:24" x14ac:dyDescent="0.25">
      <c r="A150" s="87"/>
      <c r="B150" s="4">
        <f>IF(B149-D149+G149-(B149*($B$9+$H$9))+(C149*($C$9))&lt;0,0,B149-D149+G149-(B149*($B$9+$H$9))+(C149*($C$9)))</f>
        <v>30.396005448300894</v>
      </c>
      <c r="C150" s="4">
        <f>IF(C149-E149+H149-(C149*($C$9+$I$9))+(B149*($B$9))&lt;0,0,C149-E149+H149-(C149*($C$9+$I$9))+(B149*($B$9)))</f>
        <v>53.824733933390156</v>
      </c>
      <c r="D150" s="4">
        <f>$D$10*B150</f>
        <v>3.0396005448300896</v>
      </c>
      <c r="E150" s="4">
        <f>$E$10*C150</f>
        <v>8.0737100900085235</v>
      </c>
      <c r="F150" s="4">
        <f t="shared" si="45"/>
        <v>96.933333563011487</v>
      </c>
      <c r="G150" s="4">
        <f>$F$10*F149</f>
        <v>2.5746006878451864</v>
      </c>
      <c r="H150" s="4">
        <f>$G$10*F149</f>
        <v>4.2910011464086439</v>
      </c>
      <c r="I150" s="4">
        <f>$H$10*B150+$I$10*C150</f>
        <v>0.30396005448300895</v>
      </c>
      <c r="J150" s="4">
        <f t="shared" si="46"/>
        <v>0.30396005448300895</v>
      </c>
      <c r="K150" s="27">
        <f t="shared" si="44"/>
        <v>3.6090879362321005E-3</v>
      </c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</row>
    <row r="151" spans="1:24" x14ac:dyDescent="0.25">
      <c r="A151" s="87"/>
      <c r="B151" s="4">
        <f>IF(B150-D150+G150-(B150*($B$10+$H$10))+(C150*($C$10))&lt;0,0,B150-D150+G150-(B150*($B$10+$H$10))+(C150*($C$10)))</f>
        <v>27.106557513613765</v>
      </c>
      <c r="C151" s="4">
        <f>IF(C150-E150+H150-(C150*($C$10+$I$10))+(B150*($B$10))&lt;0,0,C150-E150+H150-(C150*($C$10+$I$10))+(B150*($B$10)))</f>
        <v>52.5625130130095</v>
      </c>
      <c r="D151" s="4">
        <f>$D$11*B151</f>
        <v>2.7106557513613767</v>
      </c>
      <c r="E151" s="4">
        <f>$E$11*C151</f>
        <v>7.8843769519514249</v>
      </c>
      <c r="F151" s="4">
        <f t="shared" si="45"/>
        <v>107.52836626632428</v>
      </c>
      <c r="G151" s="4">
        <f>$F$11*F150</f>
        <v>2.9080000068903447</v>
      </c>
      <c r="H151" s="4">
        <f>$G$11*F150</f>
        <v>4.8466666781505747</v>
      </c>
      <c r="I151" s="4">
        <f>$H$11*B151+$I$11*C151</f>
        <v>0.54213115027227532</v>
      </c>
      <c r="J151" s="4">
        <f t="shared" si="46"/>
        <v>0.84609120475528421</v>
      </c>
      <c r="K151" s="27">
        <f t="shared" si="44"/>
        <v>1.0620071241731673E-2</v>
      </c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</row>
    <row r="152" spans="1:24" x14ac:dyDescent="0.25">
      <c r="A152" s="87"/>
      <c r="B152" s="4">
        <f>IF(B151-D151+G151-(B151*($B$11+$H$11))+(C151*($C$11))&lt;0,0,B151-D151+G151-(B151*($B$11+$H$11))+(C151*($C$11)))</f>
        <v>24.699251391495689</v>
      </c>
      <c r="C152" s="4">
        <f>IF(C151-E151+H151-(C151*($C$11+$I$11))+(B151*($B$11))&lt;0,0,C151-E151+H151-(C151*($C$11+$I$11))+(B151*($B$11)))</f>
        <v>51.587321966583417</v>
      </c>
      <c r="D152" s="4">
        <f>$D$12*B152</f>
        <v>2.4699251391495691</v>
      </c>
      <c r="E152" s="4">
        <f>$E$12*C152</f>
        <v>7.7380982949875126</v>
      </c>
      <c r="F152" s="4">
        <f t="shared" si="45"/>
        <v>117.73638970046136</v>
      </c>
      <c r="G152" s="4">
        <f>$F$12*F151</f>
        <v>3.2258509879897286</v>
      </c>
      <c r="H152" s="4">
        <f>$G$12*F151</f>
        <v>5.3764183133162149</v>
      </c>
      <c r="I152" s="4">
        <f>$H$12*B152+$I$12*C152</f>
        <v>3.7048877087243532</v>
      </c>
      <c r="J152" s="4">
        <f t="shared" si="46"/>
        <v>4.5509789134796375</v>
      </c>
      <c r="K152" s="27">
        <f t="shared" si="44"/>
        <v>5.9656355150701855E-2</v>
      </c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</row>
    <row r="153" spans="1:24" x14ac:dyDescent="0.25">
      <c r="A153" s="87"/>
      <c r="B153" s="4">
        <f>IF(B152-D152+G152-(B152*($B$12+$H$12))+(C152*($C$12))&lt;0,0,B152-D152+G152-(B152*($B$12+$H$12))+(C152*($C$12)))</f>
        <v>19.993231338651043</v>
      </c>
      <c r="C153" s="4">
        <f>IF(C152-E152+H152-(C152*($C$12+$I$12))+(B152*($B$12))&lt;0,0,C152-E152+H152-(C152*($C$12+$I$12))+(B152*($B$12)))</f>
        <v>50.982700177872573</v>
      </c>
      <c r="D153" s="4">
        <f>$D$13*B153</f>
        <v>1.9993231338651043</v>
      </c>
      <c r="E153" s="4">
        <f>$E$13*C153</f>
        <v>7.647405026680886</v>
      </c>
      <c r="F153" s="4">
        <f t="shared" si="45"/>
        <v>127.38311786100735</v>
      </c>
      <c r="G153" s="4">
        <f>$F$13*F152</f>
        <v>3.5320916910138407</v>
      </c>
      <c r="H153" s="4">
        <f>$G$13*F152</f>
        <v>5.886819485023068</v>
      </c>
      <c r="I153" s="4">
        <f>$H$13*B153+$I$13*C153</f>
        <v>2.9989847007976564</v>
      </c>
      <c r="J153" s="4">
        <f t="shared" si="46"/>
        <v>7.5499636142772939</v>
      </c>
      <c r="K153" s="27">
        <f t="shared" si="44"/>
        <v>0.10637357556229632</v>
      </c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</row>
    <row r="154" spans="1:24" x14ac:dyDescent="0.25">
      <c r="A154" s="87"/>
      <c r="B154" s="4">
        <f>IF(B153-D153+G153-(B153*($B$13+$H$13))+(C153*($C$13))&lt;0,0,B153-D153+G153-(B153*($B$13+$H$13))+(C153*($C$13)))</f>
        <v>17.827248124580578</v>
      </c>
      <c r="C154" s="4">
        <f>IF(C153-E153+H153-(C153*($C$13+$I$13))+(B153*($B$13))&lt;0,0,C153-E153+H153-(C153*($C$13+$I$13))+(B153*($B$13)))</f>
        <v>49.921881706636299</v>
      </c>
      <c r="D154" s="4">
        <f>$D$14*B154</f>
        <v>1.7827248124580579</v>
      </c>
      <c r="E154" s="4">
        <f>$E$14*C154</f>
        <v>7.4882822559954443</v>
      </c>
      <c r="F154" s="4">
        <f t="shared" si="45"/>
        <v>136.65412492946086</v>
      </c>
      <c r="G154" s="4">
        <f>$F$14*F153</f>
        <v>3.8214935358302204</v>
      </c>
      <c r="H154" s="4">
        <f>$G$14*F153</f>
        <v>6.369155893050368</v>
      </c>
      <c r="I154" s="4">
        <f>$H$14*B154+$I$14*C154</f>
        <v>4.1717436698861761</v>
      </c>
      <c r="J154" s="4">
        <f t="shared" si="46"/>
        <v>11.72170728416347</v>
      </c>
      <c r="K154" s="27">
        <f t="shared" si="44"/>
        <v>0.17301635184637368</v>
      </c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</row>
    <row r="155" spans="1:24" x14ac:dyDescent="0.25">
      <c r="A155" s="87"/>
      <c r="B155" s="4">
        <f>IF(B154-D154+G154-(B154*($B$13+$H$13))+(C154*($C$13))&lt;0,0,B154-D154+G154-(B154*($B$13+$H$13))+(C154*($C$13)))</f>
        <v>17.014215843800919</v>
      </c>
      <c r="C155" s="4">
        <f>IF(C154-E154+H154-(C154*($C$14+$I$14))+(B154*($B$14))&lt;0,0,C154-E154+H154-(C154*($C$14+$I$14))+(B154*($B$14)))</f>
        <v>47.661085159202678</v>
      </c>
      <c r="D155" s="4">
        <f>$D$15*B155</f>
        <v>1.7014215843800919</v>
      </c>
      <c r="E155" s="4">
        <f>$E$15*C155</f>
        <v>7.1491627738804011</v>
      </c>
      <c r="F155" s="4">
        <f t="shared" si="45"/>
        <v>145.50470928772134</v>
      </c>
      <c r="G155" s="4">
        <f>$F$15*F154</f>
        <v>4.0996237478838253</v>
      </c>
      <c r="H155" s="4">
        <f>$G$15*F154</f>
        <v>6.8327062464730437</v>
      </c>
      <c r="I155" s="4">
        <f>$H$15*B155+$I$15*C155</f>
        <v>4.4585757829382446</v>
      </c>
      <c r="J155" s="4">
        <f t="shared" si="46"/>
        <v>16.180283067101715</v>
      </c>
      <c r="K155" s="27">
        <f t="shared" si="44"/>
        <v>0.25017715907267729</v>
      </c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 spans="1:24" x14ac:dyDescent="0.25">
      <c r="A156" s="72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9" t="s">
        <v>126</v>
      </c>
      <c r="M156" s="8"/>
      <c r="N156" s="9" t="str">
        <f>"Coninuing Since  "&amp;$A$18</f>
        <v>Coninuing Since  New Fall 21</v>
      </c>
      <c r="O156" s="8"/>
      <c r="P156" s="8"/>
      <c r="Q156" s="11" t="s">
        <v>127</v>
      </c>
      <c r="R156" s="13"/>
      <c r="S156" s="13"/>
      <c r="T156" s="13"/>
      <c r="U156" s="13"/>
      <c r="V156" s="13"/>
      <c r="W156" s="13"/>
      <c r="X156" s="13"/>
    </row>
    <row r="157" spans="1:24" x14ac:dyDescent="0.25">
      <c r="A157" s="11" t="str">
        <f>$A$17</f>
        <v>Semester</v>
      </c>
      <c r="B157" s="12" t="s">
        <v>82</v>
      </c>
      <c r="C157" s="12" t="s">
        <v>83</v>
      </c>
      <c r="D157" s="12" t="s">
        <v>93</v>
      </c>
      <c r="E157" s="12" t="s">
        <v>92</v>
      </c>
      <c r="F157" s="12" t="s">
        <v>84</v>
      </c>
      <c r="G157" s="12" t="s">
        <v>94</v>
      </c>
      <c r="H157" s="12" t="s">
        <v>95</v>
      </c>
      <c r="I157" s="12" t="s">
        <v>81</v>
      </c>
      <c r="J157" s="12" t="s">
        <v>85</v>
      </c>
      <c r="K157" s="12" t="s">
        <v>96</v>
      </c>
      <c r="L157" s="12" t="s">
        <v>100</v>
      </c>
      <c r="M157" s="12" t="s">
        <v>101</v>
      </c>
      <c r="N157" s="12" t="s">
        <v>100</v>
      </c>
      <c r="O157" s="12" t="s">
        <v>101</v>
      </c>
      <c r="P157" s="12" t="s">
        <v>100</v>
      </c>
      <c r="Q157" s="12" t="s">
        <v>101</v>
      </c>
      <c r="R157" s="13"/>
      <c r="S157" s="13"/>
      <c r="T157" s="13"/>
      <c r="U157" s="13"/>
      <c r="V157" s="13"/>
      <c r="W157" s="13"/>
      <c r="X157" s="13"/>
    </row>
    <row r="158" spans="1:24" x14ac:dyDescent="0.25">
      <c r="A158" s="11" t="str">
        <f>"New "&amp;$A$28</f>
        <v>New Fall 26</v>
      </c>
      <c r="B158" s="80">
        <f>Enrollment!M3</f>
        <v>304.31681596799996</v>
      </c>
      <c r="C158" s="80">
        <f>Enrollment!M5</f>
        <v>76.079203991999989</v>
      </c>
      <c r="D158" s="4">
        <f>$D$4*B158</f>
        <v>30.431681596799997</v>
      </c>
      <c r="E158" s="4">
        <f>$E$4*C158</f>
        <v>11.411880598799998</v>
      </c>
      <c r="F158" s="4">
        <f>D158+E158</f>
        <v>41.843562195599993</v>
      </c>
      <c r="G158" s="4">
        <v>0</v>
      </c>
      <c r="H158" s="4">
        <v>0</v>
      </c>
      <c r="I158" s="4">
        <f>$H$4*B158+$I$4*C158</f>
        <v>0</v>
      </c>
      <c r="J158" s="4">
        <f>I158</f>
        <v>0</v>
      </c>
      <c r="K158" s="27">
        <f>J158/(B158+C158)</f>
        <v>0</v>
      </c>
      <c r="L158" s="4">
        <f>L186</f>
        <v>45.387242670067373</v>
      </c>
      <c r="M158" s="6">
        <f>M186</f>
        <v>127.1460057787927</v>
      </c>
      <c r="N158" s="6">
        <f>B145+B132+B119+B106+B94+B81+B68+B55+B42+B29</f>
        <v>651.88018583469488</v>
      </c>
      <c r="O158" s="6">
        <f>C145+C132+C119+C106+C94+C81+C68+C55</f>
        <v>758.02089584284658</v>
      </c>
      <c r="P158" s="6">
        <f>L158+N158</f>
        <v>697.26742850476228</v>
      </c>
      <c r="Q158" s="6">
        <f>M158+O158</f>
        <v>885.16690162163923</v>
      </c>
      <c r="R158" s="13"/>
      <c r="S158" s="13"/>
      <c r="T158" s="13"/>
      <c r="U158" s="13"/>
      <c r="V158" s="13"/>
      <c r="W158" s="13"/>
      <c r="X158" s="13"/>
    </row>
    <row r="159" spans="1:24" x14ac:dyDescent="0.25">
      <c r="A159" s="11" t="str">
        <f>$A$29</f>
        <v>Spring 27</v>
      </c>
      <c r="B159" s="4">
        <f>IF(B158-D158+G158-(B158*($B$4+$H$4))+(C158*($C$4))&lt;0,0,B158-D158+G158-(B158*($B$4+$H$4))+(C158*($C$4)))</f>
        <v>220.62969157679998</v>
      </c>
      <c r="C159" s="4">
        <f>IF(C158-E158+H158-(C158*($C$4+$I$4))+(B158*($B$4))&lt;0,0,C158-E158+H158-(C158*($C$4+$I$4))+(B158*($B$4)))</f>
        <v>117.92276618759999</v>
      </c>
      <c r="D159" s="4">
        <f>$D$5*B159</f>
        <v>22.062969157680001</v>
      </c>
      <c r="E159" s="4">
        <f>$E$5*C159</f>
        <v>17.688414928139998</v>
      </c>
      <c r="F159" s="4">
        <f>F158+D159+E159</f>
        <v>81.594946281419993</v>
      </c>
      <c r="G159" s="4">
        <f>$F$5*F158</f>
        <v>0.41843562195599993</v>
      </c>
      <c r="H159" s="4">
        <f>$G$5*F158</f>
        <v>0.83687124391199985</v>
      </c>
      <c r="I159" s="4">
        <f>$H$5*B159+$I$5*C159</f>
        <v>0</v>
      </c>
      <c r="J159" s="4">
        <f>J158+I159</f>
        <v>0</v>
      </c>
      <c r="K159" s="27">
        <f t="shared" ref="K159:K169" si="47">J159/(B159+C159)</f>
        <v>0</v>
      </c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</row>
    <row r="160" spans="1:24" x14ac:dyDescent="0.25">
      <c r="A160" s="72"/>
      <c r="B160" s="4">
        <f>IF(B159-D159+G159-(B159*($B$5+$H$5))+(C159*($C$5))&lt;0,0,B159-D159+G159-(B159*($B$5+$H$5))+(C159*($C$5)))</f>
        <v>164.44519942870801</v>
      </c>
      <c r="C160" s="4">
        <f>IF(C159-E159+H159-(C159*($C$5+$I$5))+(B159*($B$5))&lt;0,0,C159-E159+H159-(C159*($C$5+$I$5))+(B159*($B$5)))</f>
        <v>135.61118111574001</v>
      </c>
      <c r="D160" s="4">
        <f>$D$6*B160</f>
        <v>16.444519942870802</v>
      </c>
      <c r="E160" s="4">
        <f>$E$6*C160</f>
        <v>20.341677167361002</v>
      </c>
      <c r="F160" s="4">
        <f t="shared" ref="F160:F169" si="48">F159+D160+E160</f>
        <v>118.38114339165179</v>
      </c>
      <c r="G160" s="4">
        <f>$F$6*F159</f>
        <v>1.6318989256284</v>
      </c>
      <c r="H160" s="4">
        <f>$G$6*F159</f>
        <v>2.4478483884425999</v>
      </c>
      <c r="I160" s="4">
        <f>$H$6*B160+$I$6*C160</f>
        <v>0</v>
      </c>
      <c r="J160" s="4">
        <f t="shared" ref="J160:J169" si="49">J159+I160</f>
        <v>0</v>
      </c>
      <c r="K160" s="27">
        <f t="shared" si="47"/>
        <v>0</v>
      </c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</row>
    <row r="161" spans="1:24" x14ac:dyDescent="0.25">
      <c r="A161" s="87" t="s">
        <v>98</v>
      </c>
      <c r="B161" s="4">
        <f>IF(B160-D160+G160-(B160*($B$6+$H$6))+(C160*($C$6))&lt;0,0,B160-D160+G160-(B160*($B$6+$H$6))+(C160*($C$6)))</f>
        <v>127.01575264872385</v>
      </c>
      <c r="C161" s="4">
        <f>IF(C160-E160+H160-(C160*($C$6+$I$6))+(B160*($B$6))&lt;0,0,C160-E160+H160-(C160*($C$6+$I$6))+(B160*($B$6)))</f>
        <v>140.33417809956336</v>
      </c>
      <c r="D161" s="4">
        <f>$D$7*B161</f>
        <v>12.701575264872385</v>
      </c>
      <c r="E161" s="4">
        <f>$E$7*C161</f>
        <v>21.050126714934503</v>
      </c>
      <c r="F161" s="4">
        <f t="shared" si="48"/>
        <v>152.13284537145867</v>
      </c>
      <c r="G161" s="4">
        <f>$F$7*F160</f>
        <v>3.5514343017495538</v>
      </c>
      <c r="H161" s="4">
        <f>$G$7*F160</f>
        <v>4.735245735666072</v>
      </c>
      <c r="I161" s="4">
        <f>$H$7*B161+$I$7*C161</f>
        <v>0</v>
      </c>
      <c r="J161" s="4">
        <f t="shared" si="49"/>
        <v>0</v>
      </c>
      <c r="K161" s="27">
        <f t="shared" si="47"/>
        <v>0</v>
      </c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</row>
    <row r="162" spans="1:24" x14ac:dyDescent="0.25">
      <c r="A162" s="87"/>
      <c r="B162" s="4">
        <f>IF(B161-D161+G161-(B161*($B$7+$H$7))+(C161*($C$7))&lt;0,0,B161-D161+G161-(B161*($B$7+$H$7))+(C161*($C$7)))</f>
        <v>102.68540638635086</v>
      </c>
      <c r="C162" s="4">
        <f>IF(C161-E161+H161-(C161*($C$7+$I$7))+(B161*($B$7))&lt;0,0,C161-E161+H161-(C161*($C$7+$I$7))+(B161*($B$7)))</f>
        <v>139.19950241954507</v>
      </c>
      <c r="D162" s="4">
        <f>$D$8*B162</f>
        <v>10.268540638635088</v>
      </c>
      <c r="E162" s="4">
        <f>$E$8*C162</f>
        <v>20.879925362931761</v>
      </c>
      <c r="F162" s="4">
        <f t="shared" si="48"/>
        <v>183.28131137302552</v>
      </c>
      <c r="G162" s="4">
        <f>$F$8*F161</f>
        <v>4.56398536114376</v>
      </c>
      <c r="H162" s="4">
        <f>$G$8*F161</f>
        <v>7.6066422685729336</v>
      </c>
      <c r="I162" s="4">
        <f>$H$8*B162+$I$8*C162</f>
        <v>0</v>
      </c>
      <c r="J162" s="4">
        <f t="shared" si="49"/>
        <v>0</v>
      </c>
      <c r="K162" s="27">
        <f t="shared" si="47"/>
        <v>0</v>
      </c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</row>
    <row r="163" spans="1:24" x14ac:dyDescent="0.25">
      <c r="A163" s="87"/>
      <c r="B163" s="4">
        <f>IF(B162-D162+G162-(B162*($B$8+$H$8))+(C162*($C$8))&lt;0,0,B162-D162+G162-(B162*($B$8+$H$8))+(C162*($C$8)))</f>
        <v>86.256303818089847</v>
      </c>
      <c r="C163" s="4">
        <f>IF(C162-E162+H162-(C162*($C$8+$I$8))+(B162*($B$8))&lt;0,0,C162-E162+H162-(C162*($C$8+$I$8))+(B162*($B$8)))</f>
        <v>136.65076661595594</v>
      </c>
      <c r="D163" s="4">
        <f>$D$9*B163</f>
        <v>8.6256303818089854</v>
      </c>
      <c r="E163" s="4">
        <f>$E$9*C163</f>
        <v>20.497614992393391</v>
      </c>
      <c r="F163" s="4">
        <f t="shared" si="48"/>
        <v>212.40455674722787</v>
      </c>
      <c r="G163" s="4">
        <f>$F$9*F162</f>
        <v>5.4984393411907657</v>
      </c>
      <c r="H163" s="4">
        <f>$G$9*F162</f>
        <v>9.1640655686512762</v>
      </c>
      <c r="I163" s="4">
        <f>$H$9*B163+$I$9*C163</f>
        <v>0</v>
      </c>
      <c r="J163" s="4">
        <f t="shared" si="49"/>
        <v>0</v>
      </c>
      <c r="K163" s="27">
        <f t="shared" si="47"/>
        <v>0</v>
      </c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</row>
    <row r="164" spans="1:24" x14ac:dyDescent="0.25">
      <c r="A164" s="87"/>
      <c r="B164" s="4">
        <f>IF(B163-D163+G163-(B163*($B$9+$H$9))+(C163*($C$9))&lt;0,0,B163-D163+G163-(B163*($B$9+$H$9))+(C163*($C$9)))</f>
        <v>75.230113484544745</v>
      </c>
      <c r="C164" s="4">
        <f>IF(C163-E163+H163-(C163*($C$9+$I$9))+(B163*($B$9))&lt;0,0,C163-E163+H163-(C163*($C$9+$I$9))+(B163*($B$9)))</f>
        <v>133.21621648514071</v>
      </c>
      <c r="D164" s="4">
        <f>$D$10*B164</f>
        <v>7.5230113484544745</v>
      </c>
      <c r="E164" s="4">
        <f>$E$10*C164</f>
        <v>19.982432472771105</v>
      </c>
      <c r="F164" s="4">
        <f t="shared" si="48"/>
        <v>239.91000056845346</v>
      </c>
      <c r="G164" s="4">
        <f>$F$10*F163</f>
        <v>6.3721367024168361</v>
      </c>
      <c r="H164" s="4">
        <f>$G$10*F163</f>
        <v>10.620227837361394</v>
      </c>
      <c r="I164" s="4">
        <f>$H$10*B164+$I$10*C164</f>
        <v>0.75230113484544747</v>
      </c>
      <c r="J164" s="4">
        <f t="shared" si="49"/>
        <v>0.75230113484544747</v>
      </c>
      <c r="K164" s="27">
        <f t="shared" si="47"/>
        <v>3.6090879362321005E-3</v>
      </c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</row>
    <row r="165" spans="1:24" x14ac:dyDescent="0.25">
      <c r="A165" s="87"/>
      <c r="B165" s="4">
        <f>IF(B164-D164+G164-(B164*($B$10+$H$10))+(C164*($C$10))&lt;0,0,B164-D164+G164-(B164*($B$10+$H$10))+(C164*($C$10)))</f>
        <v>67.088729846194099</v>
      </c>
      <c r="C165" s="4">
        <f>IF(C164-E164+H164-(C164*($C$10+$I$10))+(B164*($B$10))&lt;0,0,C164-E164+H164-(C164*($C$10+$I$10))+(B164*($B$10)))</f>
        <v>130.09221970719855</v>
      </c>
      <c r="D165" s="4">
        <f>$D$11*B165</f>
        <v>6.7088729846194104</v>
      </c>
      <c r="E165" s="4">
        <f>$E$11*C165</f>
        <v>19.513832956079781</v>
      </c>
      <c r="F165" s="4">
        <f t="shared" si="48"/>
        <v>266.13270650915263</v>
      </c>
      <c r="G165" s="4">
        <f>$F$11*F164</f>
        <v>7.1973000170536032</v>
      </c>
      <c r="H165" s="4">
        <f>$G$11*F164</f>
        <v>11.995500028422674</v>
      </c>
      <c r="I165" s="4">
        <f>$H$11*B165+$I$11*C165</f>
        <v>1.3417745969238819</v>
      </c>
      <c r="J165" s="4">
        <f t="shared" si="49"/>
        <v>2.0940757317693293</v>
      </c>
      <c r="K165" s="27">
        <f t="shared" si="47"/>
        <v>1.0620071241731675E-2</v>
      </c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</row>
    <row r="166" spans="1:24" x14ac:dyDescent="0.25">
      <c r="A166" s="87"/>
      <c r="B166" s="4">
        <f>IF(B165-D165+G165-(B165*($B$11+$H$11))+(C165*($C$11))&lt;0,0,B165-D165+G165-(B165*($B$11+$H$11))+(C165*($C$11)))</f>
        <v>61.130647193951852</v>
      </c>
      <c r="C166" s="4">
        <f>IF(C165-E165+H165-(C165*($C$11+$I$11))+(B165*($B$11))&lt;0,0,C165-E165+H165-(C165*($C$11+$I$11))+(B165*($B$11)))</f>
        <v>127.678621867294</v>
      </c>
      <c r="D166" s="4">
        <f>$D$12*B166</f>
        <v>6.1130647193951857</v>
      </c>
      <c r="E166" s="4">
        <f>$E$12*C166</f>
        <v>19.1517932800941</v>
      </c>
      <c r="F166" s="4">
        <f t="shared" si="48"/>
        <v>291.39756450864195</v>
      </c>
      <c r="G166" s="4">
        <f>$F$12*F165</f>
        <v>7.9839811952745787</v>
      </c>
      <c r="H166" s="4">
        <f>$G$12*F165</f>
        <v>13.306635325457632</v>
      </c>
      <c r="I166" s="4">
        <f>$H$12*B166+$I$12*C166</f>
        <v>9.1695970790927781</v>
      </c>
      <c r="J166" s="4">
        <f t="shared" si="49"/>
        <v>11.263672810862108</v>
      </c>
      <c r="K166" s="27">
        <f t="shared" si="47"/>
        <v>5.9656355150701862E-2</v>
      </c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</row>
    <row r="167" spans="1:24" x14ac:dyDescent="0.25">
      <c r="A167" s="87"/>
      <c r="B167" s="4">
        <f>IF(B166-D166+G166-(B166*($B$12+$H$12))+(C166*($C$12))&lt;0,0,B166-D166+G166-(B166*($B$12+$H$12))+(C166*($C$12)))</f>
        <v>49.483247563161356</v>
      </c>
      <c r="C167" s="4">
        <f>IF(C166-E166+H166-(C166*($C$12+$I$12))+(B166*($B$12))&lt;0,0,C166-E166+H166-(C166*($C$12+$I$12))+(B166*($B$12)))</f>
        <v>126.18218294023465</v>
      </c>
      <c r="D167" s="4">
        <f>$D$13*B167</f>
        <v>4.9483247563161363</v>
      </c>
      <c r="E167" s="4">
        <f>$E$13*C167</f>
        <v>18.927327441035196</v>
      </c>
      <c r="F167" s="4">
        <f t="shared" si="48"/>
        <v>315.27321670599326</v>
      </c>
      <c r="G167" s="4">
        <f>$F$13*F166</f>
        <v>8.7419269352592579</v>
      </c>
      <c r="H167" s="4">
        <f>$G$13*F166</f>
        <v>14.569878225432099</v>
      </c>
      <c r="I167" s="4">
        <f>$H$13*B167+$I$13*C167</f>
        <v>7.4224871344742027</v>
      </c>
      <c r="J167" s="4">
        <f t="shared" si="49"/>
        <v>18.686159945336311</v>
      </c>
      <c r="K167" s="27">
        <f t="shared" si="47"/>
        <v>0.10637357556229633</v>
      </c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</row>
    <row r="168" spans="1:24" x14ac:dyDescent="0.25">
      <c r="A168" s="87"/>
      <c r="B168" s="4">
        <f>IF(B167-D167+G167-(B167*($B$13+$H$13))+(C167*($C$13))&lt;0,0,B167-D167+G167-(B167*($B$13+$H$13))+(C167*($C$13)))</f>
        <v>44.122439108336948</v>
      </c>
      <c r="C168" s="4">
        <f>IF(C167-E167+H167-(C167*($C$13+$I$13))+(B167*($B$13))&lt;0,0,C167-E167+H167-(C167*($C$13+$I$13))+(B167*($B$13)))</f>
        <v>123.55665722392489</v>
      </c>
      <c r="D168" s="4">
        <f>$D$14*B168</f>
        <v>4.4122439108336948</v>
      </c>
      <c r="E168" s="4">
        <f>$E$14*C168</f>
        <v>18.533498583588731</v>
      </c>
      <c r="F168" s="4">
        <f t="shared" si="48"/>
        <v>338.21895920041567</v>
      </c>
      <c r="G168" s="4">
        <f>$F$14*F167</f>
        <v>9.4581965011797973</v>
      </c>
      <c r="H168" s="4">
        <f>$G$14*F167</f>
        <v>15.763660835299664</v>
      </c>
      <c r="I168" s="4">
        <f>$H$14*B168+$I$14*C168</f>
        <v>10.325065582968289</v>
      </c>
      <c r="J168" s="4">
        <f t="shared" si="49"/>
        <v>29.0112255283046</v>
      </c>
      <c r="K168" s="27">
        <f t="shared" si="47"/>
        <v>0.17301635184637365</v>
      </c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</row>
    <row r="169" spans="1:24" x14ac:dyDescent="0.25">
      <c r="A169" s="87"/>
      <c r="B169" s="4">
        <f>IF(B168-D168+G168-(B168*($B$13+$H$13))+(C168*($C$13))&lt;0,0,B168-D168+G168-(B168*($B$13+$H$13))+(C168*($C$13)))</f>
        <v>42.110184213407287</v>
      </c>
      <c r="C169" s="4">
        <f>IF(C168-E168+H168-(C168*($C$14+$I$14))+(B168*($B$14))&lt;0,0,C168-E168+H168-(C168*($C$14+$I$14))+(B168*($B$14)))</f>
        <v>117.96118576902667</v>
      </c>
      <c r="D169" s="4">
        <f>$D$15*B169</f>
        <v>4.2110184213407287</v>
      </c>
      <c r="E169" s="4">
        <f>$E$15*C169</f>
        <v>17.694177865354</v>
      </c>
      <c r="F169" s="4">
        <f t="shared" si="48"/>
        <v>360.12415548711039</v>
      </c>
      <c r="G169" s="4">
        <f>$F$15*F168</f>
        <v>10.146568776012471</v>
      </c>
      <c r="H169" s="4">
        <f>$G$15*F168</f>
        <v>16.910947960020785</v>
      </c>
      <c r="I169" s="4">
        <f>$H$15*B169+$I$15*C169</f>
        <v>11.03497506277216</v>
      </c>
      <c r="J169" s="4">
        <f t="shared" si="49"/>
        <v>40.046200591076762</v>
      </c>
      <c r="K169" s="27">
        <f t="shared" si="47"/>
        <v>0.25017715907267729</v>
      </c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</row>
    <row r="170" spans="1:24" x14ac:dyDescent="0.25">
      <c r="A170" s="87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9" t="s">
        <v>126</v>
      </c>
      <c r="M170" s="8"/>
      <c r="N170" s="9" t="str">
        <f>"Coninuing Since  "&amp;$A$18</f>
        <v>Coninuing Since  New Fall 21</v>
      </c>
      <c r="O170" s="8"/>
      <c r="P170" s="8"/>
      <c r="Q170" s="11" t="s">
        <v>127</v>
      </c>
      <c r="R170" s="13"/>
      <c r="S170" s="13"/>
      <c r="T170" s="13"/>
      <c r="U170" s="13"/>
      <c r="V170" s="13"/>
      <c r="W170" s="13"/>
      <c r="X170" s="13"/>
    </row>
    <row r="171" spans="1:24" x14ac:dyDescent="0.25">
      <c r="A171" s="11" t="str">
        <f>$A$17</f>
        <v>Semester</v>
      </c>
      <c r="B171" s="12" t="s">
        <v>82</v>
      </c>
      <c r="C171" s="12" t="s">
        <v>83</v>
      </c>
      <c r="D171" s="12" t="s">
        <v>93</v>
      </c>
      <c r="E171" s="12" t="s">
        <v>92</v>
      </c>
      <c r="F171" s="12" t="s">
        <v>84</v>
      </c>
      <c r="G171" s="12" t="s">
        <v>94</v>
      </c>
      <c r="H171" s="12" t="s">
        <v>95</v>
      </c>
      <c r="I171" s="12" t="s">
        <v>81</v>
      </c>
      <c r="J171" s="12" t="s">
        <v>85</v>
      </c>
      <c r="K171" s="12" t="s">
        <v>96</v>
      </c>
      <c r="L171" s="12" t="s">
        <v>100</v>
      </c>
      <c r="M171" s="12" t="s">
        <v>101</v>
      </c>
      <c r="N171" s="12" t="s">
        <v>100</v>
      </c>
      <c r="O171" s="12" t="s">
        <v>101</v>
      </c>
      <c r="P171" s="12" t="s">
        <v>100</v>
      </c>
      <c r="Q171" s="12" t="s">
        <v>101</v>
      </c>
      <c r="R171" s="13"/>
      <c r="S171" s="13"/>
      <c r="T171" s="13"/>
      <c r="U171" s="13"/>
      <c r="V171" s="13"/>
      <c r="W171" s="13"/>
      <c r="X171" s="13"/>
    </row>
    <row r="172" spans="1:24" x14ac:dyDescent="0.25">
      <c r="A172" s="11" t="str">
        <f>"New "&amp;$A$29</f>
        <v>New Spring 27</v>
      </c>
      <c r="B172" s="80">
        <f>Enrollment!N3</f>
        <v>121.72672638719999</v>
      </c>
      <c r="C172" s="80">
        <f>Enrollment!N5</f>
        <v>30.431681596799997</v>
      </c>
      <c r="D172" s="4">
        <f>$D$4*B172</f>
        <v>12.17267263872</v>
      </c>
      <c r="E172" s="4">
        <f>$E$4*C172</f>
        <v>4.5647522395199998</v>
      </c>
      <c r="F172" s="4">
        <f>D172+E172</f>
        <v>16.737424878239999</v>
      </c>
      <c r="G172" s="4">
        <f>$F$4*F172</f>
        <v>0</v>
      </c>
      <c r="H172" s="4">
        <f>$G$4*F172</f>
        <v>0</v>
      </c>
      <c r="I172" s="4">
        <f>$H$4*B172+$I$4*C172</f>
        <v>0</v>
      </c>
      <c r="J172" s="4">
        <f>I172</f>
        <v>0</v>
      </c>
      <c r="K172" s="27">
        <f>J172/(B172+C172)</f>
        <v>0</v>
      </c>
      <c r="L172" s="4">
        <f>L331</f>
        <v>0</v>
      </c>
      <c r="M172" s="6">
        <f>M331</f>
        <v>0</v>
      </c>
      <c r="N172" s="6">
        <f>B159+B146+B133+B120+B107+B95+B82+B69+B56+B43</f>
        <v>720.61856704912987</v>
      </c>
      <c r="O172" s="6">
        <f>C159+C146+C133+C120+C107+C95+C82+C69</f>
        <v>749.03627372049164</v>
      </c>
      <c r="P172" s="6">
        <f>L172+N172</f>
        <v>720.61856704912987</v>
      </c>
      <c r="Q172" s="6">
        <f>M172+O172</f>
        <v>749.03627372049164</v>
      </c>
      <c r="R172" s="13"/>
      <c r="S172" s="13"/>
      <c r="T172" s="13"/>
      <c r="U172" s="13"/>
      <c r="V172" s="13"/>
      <c r="W172" s="13"/>
      <c r="X172" s="13"/>
    </row>
    <row r="173" spans="1:24" x14ac:dyDescent="0.25">
      <c r="A173" s="72"/>
      <c r="B173" s="52"/>
      <c r="C173" s="52"/>
      <c r="D173" s="52"/>
      <c r="E173" s="52"/>
      <c r="F173" s="52"/>
      <c r="G173" s="52"/>
      <c r="H173" s="52"/>
      <c r="I173" s="52"/>
      <c r="J173" s="52"/>
      <c r="K173" s="79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</row>
    <row r="174" spans="1:24" x14ac:dyDescent="0.25">
      <c r="A174" s="19" t="s">
        <v>106</v>
      </c>
      <c r="B174" s="13"/>
      <c r="C174" s="13"/>
      <c r="D174" s="13"/>
      <c r="E174" s="13"/>
      <c r="F174" s="13"/>
      <c r="G174" s="13"/>
      <c r="H174" s="13"/>
      <c r="I174" s="13"/>
      <c r="J174" s="13"/>
      <c r="K174" s="9" t="s">
        <v>113</v>
      </c>
      <c r="L174" s="9"/>
      <c r="M174" s="9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</row>
    <row r="175" spans="1:24" x14ac:dyDescent="0.25">
      <c r="A175" s="11" t="str">
        <f>$A$17</f>
        <v>Semester</v>
      </c>
      <c r="B175" s="12" t="s">
        <v>82</v>
      </c>
      <c r="C175" s="12" t="s">
        <v>83</v>
      </c>
      <c r="D175" s="12" t="s">
        <v>93</v>
      </c>
      <c r="E175" s="12" t="s">
        <v>92</v>
      </c>
      <c r="F175" s="12" t="s">
        <v>84</v>
      </c>
      <c r="G175" s="12" t="s">
        <v>94</v>
      </c>
      <c r="H175" s="12" t="s">
        <v>95</v>
      </c>
      <c r="I175" s="12" t="s">
        <v>81</v>
      </c>
      <c r="J175" s="12" t="s">
        <v>85</v>
      </c>
      <c r="K175" s="30"/>
      <c r="L175" s="12" t="s">
        <v>100</v>
      </c>
      <c r="M175" s="12" t="s">
        <v>101</v>
      </c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</row>
    <row r="176" spans="1:24" x14ac:dyDescent="0.25">
      <c r="A176" s="11" t="s">
        <v>128</v>
      </c>
      <c r="B176" s="80">
        <f>Enrollment!C8</f>
        <v>330</v>
      </c>
      <c r="C176" s="80">
        <f>Enrollment!C9</f>
        <v>80</v>
      </c>
      <c r="D176" s="4">
        <f>$D$4*B176</f>
        <v>33</v>
      </c>
      <c r="E176" s="4">
        <f>$E$4*C176</f>
        <v>12</v>
      </c>
      <c r="F176" s="4">
        <f>D176+E176</f>
        <v>45</v>
      </c>
      <c r="G176" s="4">
        <v>0</v>
      </c>
      <c r="H176" s="4">
        <v>0</v>
      </c>
      <c r="I176" s="4">
        <f>$H$4*B176+$I$4*C176</f>
        <v>0</v>
      </c>
      <c r="J176" s="4">
        <f>I176</f>
        <v>0</v>
      </c>
      <c r="K176" s="27" t="s">
        <v>114</v>
      </c>
      <c r="L176" s="6">
        <f>SUM(B177:$B$187)</f>
        <v>1124.0895979528175</v>
      </c>
      <c r="M176" s="6">
        <f>SUM(C177:$C$187)</f>
        <v>1537.5488423853401</v>
      </c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</row>
    <row r="177" spans="1:24" x14ac:dyDescent="0.25">
      <c r="A177" s="11" t="s">
        <v>102</v>
      </c>
      <c r="B177" s="4">
        <f>IF(B176-D176+G176-(B176*($B$4+$H$4))+(C176*($C$4))&lt;0,0,B176-D176+G176-(B176*($B$4+$H$4))+(C176*($C$4)))</f>
        <v>239</v>
      </c>
      <c r="C177" s="4">
        <f>IF(C176-E176+H176-(C176*($C$4+$I$4))+(B176*($B$4))&lt;0,0,C176-E176+H176-(C176*($C$4+$I$4))+(B176*($B$4)))</f>
        <v>126</v>
      </c>
      <c r="D177" s="4">
        <f>$D$5*B177</f>
        <v>23.900000000000002</v>
      </c>
      <c r="E177" s="4">
        <f>$E$5*C177</f>
        <v>18.899999999999999</v>
      </c>
      <c r="F177" s="4">
        <f>F176+D177+E177</f>
        <v>87.800000000000011</v>
      </c>
      <c r="G177" s="4">
        <f>$F$5*F176</f>
        <v>0.45</v>
      </c>
      <c r="H177" s="4">
        <f>$G$5*F176</f>
        <v>0.9</v>
      </c>
      <c r="I177" s="4">
        <f>$H$5*B177+$I$5*C177</f>
        <v>0</v>
      </c>
      <c r="J177" s="4">
        <f>J176+I177</f>
        <v>0</v>
      </c>
      <c r="K177" s="27" t="s">
        <v>115</v>
      </c>
      <c r="L177" s="6">
        <f>SUM(B178:$B$187)</f>
        <v>885.0895979528176</v>
      </c>
      <c r="M177" s="6">
        <f>SUM(C178:$C$187)</f>
        <v>1411.5488423853401</v>
      </c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</row>
    <row r="178" spans="1:24" x14ac:dyDescent="0.25">
      <c r="A178" s="11" t="s">
        <v>103</v>
      </c>
      <c r="B178" s="4">
        <f>IF(B177-D177+G177-(B177*($B$5+$H$5))+(C177*($C$5))&lt;0,0,B177-D177+G177-(B177*($B$5+$H$5))+(C177*($C$5)))</f>
        <v>177.95999999999998</v>
      </c>
      <c r="C178" s="4">
        <f>IF(C177-E177+H177-(C177*($C$5+$I$5))+(B177*($B$5))&lt;0,0,C177-E177+H177-(C177*($C$5+$I$5))+(B177*($B$5)))</f>
        <v>145.59</v>
      </c>
      <c r="D178" s="4">
        <f>$D$6*B178</f>
        <v>17.795999999999999</v>
      </c>
      <c r="E178" s="4">
        <f>$E$6*C178</f>
        <v>21.8385</v>
      </c>
      <c r="F178" s="4">
        <f t="shared" ref="F178:F186" si="50">F177+D178+E178</f>
        <v>127.4345</v>
      </c>
      <c r="G178" s="4">
        <f>$F$6*F177</f>
        <v>1.7560000000000002</v>
      </c>
      <c r="H178" s="4">
        <f>$G$6*F177</f>
        <v>2.6340000000000003</v>
      </c>
      <c r="I178" s="4">
        <f>$H$6*B178+$I$6*C178</f>
        <v>0</v>
      </c>
      <c r="J178" s="4">
        <f t="shared" ref="J178:J186" si="51">J177+I178</f>
        <v>0</v>
      </c>
      <c r="K178" s="27" t="s">
        <v>116</v>
      </c>
      <c r="L178" s="6">
        <f>SUM(B179:$B$187)</f>
        <v>707.12959795281756</v>
      </c>
      <c r="M178" s="6">
        <f>SUM(C179:$C$187)</f>
        <v>1265.9588423853399</v>
      </c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</row>
    <row r="179" spans="1:24" x14ac:dyDescent="0.25">
      <c r="A179" s="11" t="s">
        <v>104</v>
      </c>
      <c r="B179" s="4">
        <f>IF(B178-D178+G178-(B178*($B$6+$H$6))+(C178*($C$6))&lt;0,0,B178-D178+G178-(B178*($B$6+$H$6))+(C178*($C$6)))</f>
        <v>137.3278</v>
      </c>
      <c r="C179" s="4">
        <f>IF(C178-E178+H178-(C178*($C$6+$I$6))+(B178*($B$6))&lt;0,0,C178-E178+H178-(C178*($C$6+$I$6))+(B178*($B$6)))</f>
        <v>150.9777</v>
      </c>
      <c r="D179" s="4">
        <f>$D$7*B179</f>
        <v>13.73278</v>
      </c>
      <c r="E179" s="4">
        <f>$E$7*C179</f>
        <v>22.646654999999999</v>
      </c>
      <c r="F179" s="4">
        <f t="shared" si="50"/>
        <v>163.81393500000001</v>
      </c>
      <c r="G179" s="4">
        <f>$F$7*F178</f>
        <v>3.823035</v>
      </c>
      <c r="H179" s="4">
        <f>$G$7*F178</f>
        <v>5.0973800000000002</v>
      </c>
      <c r="I179" s="4">
        <f>$H$7*B179+$I$7*C179</f>
        <v>0</v>
      </c>
      <c r="J179" s="4">
        <f t="shared" si="51"/>
        <v>0</v>
      </c>
      <c r="K179" s="27" t="s">
        <v>117</v>
      </c>
      <c r="L179" s="6">
        <f>SUM(B180:$B$187)</f>
        <v>569.80179795281776</v>
      </c>
      <c r="M179" s="6">
        <f>SUM(C180:$C$187)</f>
        <v>1114.9811423853403</v>
      </c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</row>
    <row r="180" spans="1:24" x14ac:dyDescent="0.25">
      <c r="A180" s="11" t="s">
        <v>105</v>
      </c>
      <c r="B180" s="4">
        <f>IF(B179-D179+G179-(B179*($B$7+$H$7))+(C179*($C$7))&lt;0,0,B179-D179+G179-(B179*($B$7+$H$7))+(C179*($C$7)))</f>
        <v>110.930431</v>
      </c>
      <c r="C180" s="4">
        <f>IF(C179-E179+H179-(C179*($C$7+$I$7))+(B179*($B$7))&lt;0,0,C179-E179+H179-(C179*($C$7+$I$7))+(B179*($B$7)))</f>
        <v>149.91604899999999</v>
      </c>
      <c r="D180" s="4">
        <f>$D$8*B180</f>
        <v>11.093043100000001</v>
      </c>
      <c r="E180" s="4">
        <f>$E$8*C180</f>
        <v>22.487407349999998</v>
      </c>
      <c r="F180" s="4">
        <f t="shared" si="50"/>
        <v>197.39438545000002</v>
      </c>
      <c r="G180" s="4">
        <f>$F$8*F179</f>
        <v>4.9144180500000001</v>
      </c>
      <c r="H180" s="4">
        <f>$G$8*F179</f>
        <v>8.1906967500000007</v>
      </c>
      <c r="I180" s="4">
        <f>$H$8*B180+$I$8*C180</f>
        <v>0</v>
      </c>
      <c r="J180" s="4">
        <f t="shared" si="51"/>
        <v>0</v>
      </c>
      <c r="K180" s="27" t="s">
        <v>118</v>
      </c>
      <c r="L180" s="6">
        <f>SUM(B181:$B$187)</f>
        <v>458.87136695281771</v>
      </c>
      <c r="M180" s="6">
        <f>SUM(C181:$C$187)</f>
        <v>965.06509338534033</v>
      </c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</row>
    <row r="181" spans="1:24" x14ac:dyDescent="0.25">
      <c r="A181" s="11" t="s">
        <v>107</v>
      </c>
      <c r="B181" s="4">
        <f>IF(B180-D180+G180-(B180*($B$8+$H$8))+(C180*($C$8))&lt;0,0,B180-D180+G180-(B180*($B$8+$H$8))+(C180*($C$8)))</f>
        <v>93.120107409999989</v>
      </c>
      <c r="C181" s="4">
        <f>IF(C180-E180+H180-(C180*($C$8+$I$8))+(B180*($B$8))&lt;0,0,C180-E180+H180-(C180*($C$8+$I$8))+(B180*($B$8)))</f>
        <v>147.25103694000001</v>
      </c>
      <c r="D181" s="4">
        <f>$D$9*B181</f>
        <v>9.3120107409999999</v>
      </c>
      <c r="E181" s="4">
        <f>$E$9*C181</f>
        <v>22.087655541</v>
      </c>
      <c r="F181" s="4">
        <f t="shared" si="50"/>
        <v>228.79405173200001</v>
      </c>
      <c r="G181" s="4">
        <f>$F$9*F180</f>
        <v>5.9218315635000005</v>
      </c>
      <c r="H181" s="4">
        <f>$G$9*F180</f>
        <v>9.8697192725000011</v>
      </c>
      <c r="I181" s="4">
        <f>$H$9*B181+$I$9*C181</f>
        <v>0</v>
      </c>
      <c r="J181" s="4">
        <f t="shared" si="51"/>
        <v>0</v>
      </c>
      <c r="K181" s="27" t="s">
        <v>119</v>
      </c>
      <c r="L181" s="6">
        <f>SUM(B182:$B$187)</f>
        <v>365.75125954281771</v>
      </c>
      <c r="M181" s="6">
        <f>SUM(C182:$C$187)</f>
        <v>817.81405644534038</v>
      </c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</row>
    <row r="182" spans="1:24" x14ac:dyDescent="0.25">
      <c r="A182" s="11" t="s">
        <v>108</v>
      </c>
      <c r="B182" s="4">
        <f>IF(B181-D181+G181-(B181*($B$9+$H$9))+(C181*($C$9))&lt;0,0,B181-D181+G181-(B181*($B$9+$H$9))+(C181*($C$9)))</f>
        <v>81.175005073999998</v>
      </c>
      <c r="C182" s="4">
        <f>IF(C181-E181+H181-(C181*($C$9+$I$9))+(B181*($B$9))&lt;0,0,C181-E181+H181-(C181*($C$9+$I$9))+(B181*($B$9)))</f>
        <v>143.58802383</v>
      </c>
      <c r="D182" s="4">
        <f>$D$10*B182</f>
        <v>8.1175005074000008</v>
      </c>
      <c r="E182" s="4">
        <f>$E$10*C182</f>
        <v>21.538203574499999</v>
      </c>
      <c r="F182" s="4">
        <f t="shared" si="50"/>
        <v>258.44975581390003</v>
      </c>
      <c r="G182" s="4">
        <f>$F$10*F181</f>
        <v>6.8638215519600001</v>
      </c>
      <c r="H182" s="4">
        <f>$G$10*F181</f>
        <v>11.439702586600001</v>
      </c>
      <c r="I182" s="4">
        <f>$H$10*B182+$I$10*C182</f>
        <v>0.81175005073999995</v>
      </c>
      <c r="J182" s="4">
        <f t="shared" si="51"/>
        <v>0.81175005073999995</v>
      </c>
      <c r="K182" s="27" t="s">
        <v>120</v>
      </c>
      <c r="L182" s="6">
        <f>SUM(B183:$B$187)</f>
        <v>284.57625446881769</v>
      </c>
      <c r="M182" s="6">
        <f>SUM(C183:$C$187)</f>
        <v>674.22603261534027</v>
      </c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</row>
    <row r="183" spans="1:24" x14ac:dyDescent="0.25">
      <c r="A183" s="11" t="s">
        <v>109</v>
      </c>
      <c r="B183" s="4">
        <f>IF(B182-D182+G182-(B182*($B$10+$H$10))+(C182*($C$10))&lt;0,0,B182-D182+G182-(B182*($B$10+$H$10))+(C182*($C$10)))</f>
        <v>72.362877131580007</v>
      </c>
      <c r="C183" s="4">
        <f>IF(C182-E182+H182-(C182*($C$10+$I$10))+(B182*($B$10))&lt;0,0,C182-E182+H182-(C182*($C$10+$I$10))+(B182*($B$10)))</f>
        <v>140.23622177834</v>
      </c>
      <c r="D183" s="4">
        <f>$D$11*B183</f>
        <v>7.236287713158001</v>
      </c>
      <c r="E183" s="4">
        <f>$E$11*C183</f>
        <v>21.035433266750999</v>
      </c>
      <c r="F183" s="4">
        <f t="shared" si="50"/>
        <v>286.72147679380902</v>
      </c>
      <c r="G183" s="4">
        <f>$F$11*F182</f>
        <v>7.7534926744170001</v>
      </c>
      <c r="H183" s="4">
        <f>$G$11*F182</f>
        <v>12.922487790695001</v>
      </c>
      <c r="I183" s="4">
        <f>$H$11*B183+$I$11*C183</f>
        <v>1.4472575426316001</v>
      </c>
      <c r="J183" s="4">
        <f t="shared" si="51"/>
        <v>2.2590075933716003</v>
      </c>
      <c r="K183" s="27" t="s">
        <v>121</v>
      </c>
      <c r="L183" s="6">
        <f>SUM(B184:$B$187)</f>
        <v>212.21337733723763</v>
      </c>
      <c r="M183" s="6">
        <f>SUM(C184:$C$187)</f>
        <v>533.98981083700028</v>
      </c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</row>
    <row r="184" spans="1:24" x14ac:dyDescent="0.25">
      <c r="A184" s="11" t="s">
        <v>110</v>
      </c>
      <c r="B184" s="4">
        <f>IF(B183-D183+G183-(B183*($B$11+$H$11))+(C183*($C$11))&lt;0,0,B183-D183+G183-(B183*($B$11+$H$11))+(C183*($C$11)))</f>
        <v>65.918469902514801</v>
      </c>
      <c r="C184" s="4">
        <f>IF(C183-E183+H183-(C183*($C$11+$I$11))+(B183*($B$11))&lt;0,0,C183-E183+H183-(C183*($C$11+$I$11))+(B183*($B$11)))</f>
        <v>137.63763094997663</v>
      </c>
      <c r="D184" s="4">
        <f>$D$12*B184</f>
        <v>6.5918469902514802</v>
      </c>
      <c r="E184" s="4">
        <f>$E$12*C184</f>
        <v>20.645644642496492</v>
      </c>
      <c r="F184" s="4">
        <f t="shared" si="50"/>
        <v>313.95896842655702</v>
      </c>
      <c r="G184" s="4">
        <f>$F$12*F183</f>
        <v>8.60164430381427</v>
      </c>
      <c r="H184" s="4">
        <f>$G$12*F183</f>
        <v>14.336073839690451</v>
      </c>
      <c r="I184" s="4">
        <f>$H$12*B184+$I$12*C184</f>
        <v>9.887770485377219</v>
      </c>
      <c r="J184" s="4">
        <f t="shared" si="51"/>
        <v>12.14677807874882</v>
      </c>
      <c r="K184" s="27" t="s">
        <v>122</v>
      </c>
      <c r="L184" s="6">
        <f>SUM(B185:$B$187)</f>
        <v>146.29490743472286</v>
      </c>
      <c r="M184" s="6">
        <f>SUM(C185:$C$187)</f>
        <v>396.35217988702362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</row>
    <row r="185" spans="1:24" x14ac:dyDescent="0.25">
      <c r="A185" s="11" t="s">
        <v>111</v>
      </c>
      <c r="B185" s="4">
        <f>IF(B184-D184+G184-(B184*($B$12+$H$12))+(C184*($C$12))&lt;0,0,B184-D184+G184-(B184*($B$12+$H$12))+(C184*($C$12)))</f>
        <v>53.347088252993878</v>
      </c>
      <c r="C185" s="4">
        <f>IF(C184-E184+H184-(C184*($C$12+$I$12))+(B184*($B$12))&lt;0,0,C184-E184+H184-(C184*($C$12+$I$12))+(B184*($B$12)))</f>
        <v>136.02146862487706</v>
      </c>
      <c r="D185" s="4">
        <f>$D$13*B185</f>
        <v>5.3347088252993879</v>
      </c>
      <c r="E185" s="4">
        <f>$E$13*C185</f>
        <v>20.403220293731557</v>
      </c>
      <c r="F185" s="4">
        <f t="shared" si="50"/>
        <v>339.696897545588</v>
      </c>
      <c r="G185" s="4">
        <f>$F$13*F184</f>
        <v>9.4187690527967103</v>
      </c>
      <c r="H185" s="4">
        <f>$G$13*F184</f>
        <v>15.697948421327851</v>
      </c>
      <c r="I185" s="4">
        <f>$H$13*B185+$I$13*C185</f>
        <v>8.0020632379490806</v>
      </c>
      <c r="J185" s="4">
        <f t="shared" si="51"/>
        <v>20.148841316697901</v>
      </c>
      <c r="K185" s="27" t="s">
        <v>124</v>
      </c>
      <c r="L185" s="6">
        <f>SUM(B186:$B$187)</f>
        <v>92.947819181728988</v>
      </c>
      <c r="M185" s="6">
        <f>SUM(C186:$C$187)</f>
        <v>260.33071126214656</v>
      </c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</row>
    <row r="186" spans="1:24" x14ac:dyDescent="0.25">
      <c r="A186" s="11" t="s">
        <v>112</v>
      </c>
      <c r="B186" s="4">
        <f>IF(B185-D185+G185-(B185*($B$13+$H$13))+(C185*($C$13))&lt;0,0,B185-D185+G185-(B185*($B$13+$H$13))+(C185*($C$13)))</f>
        <v>47.560576511661608</v>
      </c>
      <c r="C186" s="4">
        <f>IF(C185-E185+H185-(C185*($C$13+$I$13))+(B185*($B$13))&lt;0,0,C185-E185+H185-(C185*($C$13+$I$13))+(B185*($B$13)))</f>
        <v>133.18470548335389</v>
      </c>
      <c r="D186" s="4">
        <f>$D$14*B186</f>
        <v>4.7560576511661612</v>
      </c>
      <c r="E186" s="4">
        <f>$E$14*C186</f>
        <v>19.977705822503083</v>
      </c>
      <c r="F186" s="4">
        <f t="shared" si="50"/>
        <v>364.43066101925723</v>
      </c>
      <c r="G186" s="4">
        <f>$F$14*F185</f>
        <v>10.19090692636764</v>
      </c>
      <c r="H186" s="4">
        <f>$G$14*F185</f>
        <v>16.9848448772794</v>
      </c>
      <c r="I186" s="4">
        <f>$H$14*B186+$I$14*C186</f>
        <v>11.129627641249858</v>
      </c>
      <c r="J186" s="4">
        <f t="shared" si="51"/>
        <v>31.278468957947759</v>
      </c>
      <c r="K186" s="27" t="s">
        <v>125</v>
      </c>
      <c r="L186" s="6">
        <f>SUM(B187:$B$187)</f>
        <v>45.387242670067373</v>
      </c>
      <c r="M186" s="6">
        <f>SUM(C187:$C$187)</f>
        <v>127.1460057787927</v>
      </c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</row>
    <row r="187" spans="1:24" x14ac:dyDescent="0.25">
      <c r="A187" s="11" t="s">
        <v>123</v>
      </c>
      <c r="B187" s="4">
        <f>IF(B186-D186+G186-(B186*($B$13+$H$13))+(C186*($C$13))&lt;0,0,B186-D186+G186-(B186*($B$13+$H$13))+(C186*($C$13)))</f>
        <v>45.387242670067373</v>
      </c>
      <c r="C187" s="4">
        <f>IF(C186-E186+H186-(C186*($C$14+$I$14))+(B186*($B$14))&lt;0,0,C186-E186+H186-(C186*($C$14+$I$14))+(B186*($B$14)))</f>
        <v>127.1460057787927</v>
      </c>
      <c r="D187" s="4">
        <f>$D$14*B187</f>
        <v>4.5387242670067378</v>
      </c>
      <c r="E187" s="4">
        <f>$E$14*C187</f>
        <v>19.071900866818904</v>
      </c>
      <c r="F187" s="4">
        <f t="shared" ref="F187" si="52">F186+D187+E187</f>
        <v>388.04128615308286</v>
      </c>
      <c r="G187" s="4">
        <f>$F$15*F186</f>
        <v>10.932919830577717</v>
      </c>
      <c r="H187" s="4">
        <f>$G$15*F186</f>
        <v>18.221533050962861</v>
      </c>
      <c r="I187" s="4">
        <f>$H$14*B187+$I$14*C187</f>
        <v>10.622466573873886</v>
      </c>
      <c r="J187" s="4">
        <f t="shared" ref="J187" si="53">J186+I187</f>
        <v>41.900935531821645</v>
      </c>
      <c r="K187" s="79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</row>
    <row r="188" spans="1:24" x14ac:dyDescent="0.25">
      <c r="A188" s="72"/>
      <c r="B188" s="16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</row>
    <row r="189" spans="1:24" x14ac:dyDescent="0.25">
      <c r="A189" s="72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</row>
    <row r="190" spans="1:24" x14ac:dyDescent="0.25">
      <c r="A190" s="72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</row>
    <row r="191" spans="1:24" x14ac:dyDescent="0.25">
      <c r="A191" s="72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</row>
    <row r="192" spans="1:24" x14ac:dyDescent="0.25">
      <c r="A192" s="72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</row>
    <row r="193" spans="1:24" x14ac:dyDescent="0.25">
      <c r="A193" s="72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</row>
    <row r="194" spans="1:24" x14ac:dyDescent="0.25">
      <c r="A194" s="72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</row>
    <row r="195" spans="1:24" x14ac:dyDescent="0.25">
      <c r="A195" s="72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</row>
    <row r="196" spans="1:24" x14ac:dyDescent="0.25">
      <c r="A196" s="72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79827-F79B-4A0F-B59E-71A5D2918E4A}">
  <dimension ref="A1:P48"/>
  <sheetViews>
    <sheetView zoomScale="110" zoomScaleNormal="110" workbookViewId="0"/>
  </sheetViews>
  <sheetFormatPr defaultRowHeight="15" x14ac:dyDescent="0.25"/>
  <cols>
    <col min="1" max="1" width="49.42578125" customWidth="1"/>
    <col min="2" max="4" width="12.7109375" customWidth="1"/>
    <col min="5" max="7" width="13.28515625" customWidth="1"/>
    <col min="8" max="8" width="14.5703125" customWidth="1"/>
  </cols>
  <sheetData>
    <row r="1" spans="1:16" x14ac:dyDescent="0.25">
      <c r="A1" s="99" t="str">
        <f>Summary!A1</f>
        <v>Frozen Pond College</v>
      </c>
      <c r="B1" s="100"/>
      <c r="C1" s="100"/>
      <c r="D1" s="100" t="s">
        <v>165</v>
      </c>
      <c r="E1" s="100"/>
      <c r="F1" s="100"/>
      <c r="G1" s="100"/>
      <c r="H1" s="55"/>
      <c r="I1" s="13"/>
      <c r="J1" s="13"/>
      <c r="K1" s="13"/>
      <c r="L1" s="13"/>
      <c r="M1" s="13"/>
      <c r="N1" s="13"/>
      <c r="O1" s="13"/>
      <c r="P1" s="13"/>
    </row>
    <row r="2" spans="1:16" x14ac:dyDescent="0.25">
      <c r="A2" s="56" t="s">
        <v>169</v>
      </c>
      <c r="B2" s="138">
        <f>C2-1</f>
        <v>2021</v>
      </c>
      <c r="C2" s="138">
        <f>Summary!F3</f>
        <v>2022</v>
      </c>
      <c r="D2" s="138">
        <f>C2+1</f>
        <v>2023</v>
      </c>
      <c r="E2" s="138">
        <f>D2+1</f>
        <v>2024</v>
      </c>
      <c r="F2" s="138">
        <f>E2+1</f>
        <v>2025</v>
      </c>
      <c r="G2" s="138">
        <f>F2+1</f>
        <v>2026</v>
      </c>
      <c r="H2" s="141">
        <f>G2+1</f>
        <v>2027</v>
      </c>
      <c r="I2" s="13"/>
      <c r="J2" s="13"/>
      <c r="K2" s="13"/>
      <c r="L2" s="13"/>
      <c r="M2" s="13"/>
      <c r="N2" s="13"/>
      <c r="O2" s="13"/>
      <c r="P2" s="13"/>
    </row>
    <row r="3" spans="1:16" x14ac:dyDescent="0.25">
      <c r="A3" s="56" t="s">
        <v>146</v>
      </c>
      <c r="B3" s="95">
        <v>2000000</v>
      </c>
      <c r="C3" s="21">
        <f>Cash!B14</f>
        <v>5355962.152989055</v>
      </c>
      <c r="D3" s="21">
        <f>Cash!C14</f>
        <v>4772794.0239259675</v>
      </c>
      <c r="E3" s="21">
        <f>Cash!D14</f>
        <v>1071300.5901423534</v>
      </c>
      <c r="F3" s="21">
        <f>Cash!E14</f>
        <v>-5782956.7319545941</v>
      </c>
      <c r="G3" s="21">
        <f>Cash!F14</f>
        <v>-13692693.403825797</v>
      </c>
      <c r="H3" s="58">
        <f>Cash!G14</f>
        <v>-24801266.219206117</v>
      </c>
      <c r="I3" s="13"/>
      <c r="J3" s="13"/>
      <c r="K3" s="13"/>
      <c r="L3" s="13"/>
      <c r="M3" s="13"/>
      <c r="N3" s="13"/>
      <c r="O3" s="13"/>
      <c r="P3" s="13"/>
    </row>
    <row r="4" spans="1:16" x14ac:dyDescent="0.25">
      <c r="A4" s="56" t="s">
        <v>147</v>
      </c>
      <c r="B4" s="95">
        <v>2300000</v>
      </c>
      <c r="C4" s="21">
        <f>$B$25*Summary!F26</f>
        <v>2465027.18121154</v>
      </c>
      <c r="D4" s="21">
        <f>$B$25*Summary!G26</f>
        <v>2456205.3677666686</v>
      </c>
      <c r="E4" s="21">
        <f>$B$25*Summary!H26</f>
        <v>2365461.9328331868</v>
      </c>
      <c r="F4" s="21">
        <f>$B$25*Summary!I26</f>
        <v>2251421.2580485418</v>
      </c>
      <c r="G4" s="21">
        <f>$B$25*Summary!J26</f>
        <v>2308553.1927955816</v>
      </c>
      <c r="H4" s="58">
        <f>$B$25*Summary!K26</f>
        <v>2198884.4526726431</v>
      </c>
      <c r="I4" s="13"/>
      <c r="J4" s="13"/>
      <c r="K4" s="13"/>
      <c r="L4" s="13"/>
      <c r="M4" s="13"/>
      <c r="N4" s="13"/>
      <c r="O4" s="13"/>
      <c r="P4" s="13"/>
    </row>
    <row r="5" spans="1:16" x14ac:dyDescent="0.25">
      <c r="A5" s="56" t="s">
        <v>149</v>
      </c>
      <c r="B5" s="95">
        <v>700000</v>
      </c>
      <c r="C5" s="5">
        <f>B5*(1+$B$26+Summary!$B$25)</f>
        <v>728000</v>
      </c>
      <c r="D5" s="5">
        <f>C5*(1+$B$26+Summary!$B$25)</f>
        <v>757120</v>
      </c>
      <c r="E5" s="5">
        <f>D5*(1+$B$26+Summary!$B$25)</f>
        <v>787404.80000000005</v>
      </c>
      <c r="F5" s="5">
        <f>E5*(1+$B$26+Summary!$B$25)</f>
        <v>818900.99200000009</v>
      </c>
      <c r="G5" s="5">
        <f>F5*(1+$B$26+Summary!$B$25)</f>
        <v>851657.03168000013</v>
      </c>
      <c r="H5" s="59">
        <f>G5*(1+$B$26+Summary!$B$25)</f>
        <v>885723.31294720015</v>
      </c>
      <c r="I5" s="13"/>
      <c r="J5" s="13"/>
      <c r="K5" s="13"/>
      <c r="L5" s="13"/>
      <c r="M5" s="13"/>
      <c r="N5" s="13"/>
      <c r="O5" s="13"/>
      <c r="P5" s="13"/>
    </row>
    <row r="6" spans="1:16" x14ac:dyDescent="0.25">
      <c r="A6" s="61" t="s">
        <v>150</v>
      </c>
      <c r="B6" s="101">
        <f t="shared" ref="B6:H6" si="0">SUM(B3:B5)</f>
        <v>5000000</v>
      </c>
      <c r="C6" s="101">
        <f t="shared" si="0"/>
        <v>8548989.3342005946</v>
      </c>
      <c r="D6" s="101">
        <f t="shared" si="0"/>
        <v>7986119.3916926365</v>
      </c>
      <c r="E6" s="101">
        <f t="shared" si="0"/>
        <v>4224167.3229755405</v>
      </c>
      <c r="F6" s="101">
        <f t="shared" si="0"/>
        <v>-2712634.4819060522</v>
      </c>
      <c r="G6" s="101">
        <f t="shared" si="0"/>
        <v>-10532483.179350214</v>
      </c>
      <c r="H6" s="102">
        <f t="shared" si="0"/>
        <v>-21716658.453586277</v>
      </c>
      <c r="I6" s="13"/>
      <c r="J6" s="13"/>
      <c r="K6" s="13"/>
      <c r="L6" s="13"/>
      <c r="M6" s="13"/>
      <c r="N6" s="13"/>
      <c r="O6" s="13"/>
      <c r="P6" s="13"/>
    </row>
    <row r="7" spans="1:16" x14ac:dyDescent="0.25">
      <c r="A7" s="181"/>
      <c r="B7" s="103"/>
      <c r="C7" s="22"/>
      <c r="D7" s="22"/>
      <c r="E7" s="22"/>
      <c r="F7" s="22"/>
      <c r="G7" s="22"/>
      <c r="H7" s="104"/>
      <c r="I7" s="13"/>
      <c r="J7" s="13"/>
      <c r="K7" s="13"/>
      <c r="L7" s="13"/>
      <c r="M7" s="13"/>
      <c r="N7" s="13"/>
      <c r="O7" s="13"/>
      <c r="P7" s="13"/>
    </row>
    <row r="8" spans="1:16" x14ac:dyDescent="0.25">
      <c r="A8" s="56" t="s">
        <v>199</v>
      </c>
      <c r="B8" s="101">
        <f>Endow!B9</f>
        <v>25000000</v>
      </c>
      <c r="C8" s="101">
        <f>Endow!C9</f>
        <v>26450000</v>
      </c>
      <c r="D8" s="101">
        <f>Endow!D9</f>
        <v>27761458.333333332</v>
      </c>
      <c r="E8" s="101">
        <f>Endow!E9</f>
        <v>29153125</v>
      </c>
      <c r="F8" s="101">
        <f>Endow!F9</f>
        <v>30609079.861111108</v>
      </c>
      <c r="G8" s="101">
        <f>Endow!G9</f>
        <v>32134982.638888884</v>
      </c>
      <c r="H8" s="102">
        <f>Endow!H9</f>
        <v>33737162.905092582</v>
      </c>
      <c r="I8" s="13"/>
      <c r="J8" s="13"/>
      <c r="K8" s="13"/>
      <c r="L8" s="13"/>
      <c r="M8" s="13"/>
      <c r="N8" s="13"/>
      <c r="O8" s="13"/>
      <c r="P8" s="13"/>
    </row>
    <row r="9" spans="1:16" x14ac:dyDescent="0.25">
      <c r="A9" s="56" t="s">
        <v>200</v>
      </c>
      <c r="B9" s="101">
        <f>Plant!B12</f>
        <v>15050000</v>
      </c>
      <c r="C9" s="101">
        <f>Plant!C12</f>
        <v>14457333.333333332</v>
      </c>
      <c r="D9" s="101">
        <f>Plant!D12</f>
        <v>13843666.666666666</v>
      </c>
      <c r="E9" s="101">
        <f>Plant!E12</f>
        <v>18209000</v>
      </c>
      <c r="F9" s="101">
        <f>Plant!F12</f>
        <v>17386666.666666664</v>
      </c>
      <c r="G9" s="101">
        <f>Plant!G12</f>
        <v>16543333.333333332</v>
      </c>
      <c r="H9" s="102">
        <f>Plant!H12</f>
        <v>15678999.999999998</v>
      </c>
      <c r="I9" s="13"/>
      <c r="J9" s="13"/>
      <c r="K9" s="13"/>
      <c r="L9" s="13"/>
      <c r="M9" s="13"/>
      <c r="N9" s="13"/>
      <c r="O9" s="13"/>
      <c r="P9" s="13"/>
    </row>
    <row r="10" spans="1:16" x14ac:dyDescent="0.25">
      <c r="A10" s="56" t="s">
        <v>201</v>
      </c>
      <c r="B10" s="5">
        <f>Endow!B17</f>
        <v>1000000</v>
      </c>
      <c r="C10" s="5">
        <f>Endow!C17</f>
        <v>1000000</v>
      </c>
      <c r="D10" s="5">
        <f>Endow!D17</f>
        <v>1000000</v>
      </c>
      <c r="E10" s="5">
        <f>Endow!E17</f>
        <v>1000000</v>
      </c>
      <c r="F10" s="5">
        <f>Endow!F17</f>
        <v>1000000</v>
      </c>
      <c r="G10" s="5">
        <f>Endow!G17</f>
        <v>1000000</v>
      </c>
      <c r="H10" s="59">
        <f>Endow!H17</f>
        <v>1000000</v>
      </c>
      <c r="I10" s="13"/>
      <c r="J10" s="13"/>
      <c r="K10" s="13"/>
      <c r="L10" s="13"/>
      <c r="M10" s="13"/>
      <c r="N10" s="13"/>
      <c r="O10" s="13"/>
      <c r="P10" s="13"/>
    </row>
    <row r="11" spans="1:16" ht="15" customHeight="1" x14ac:dyDescent="0.25">
      <c r="A11" s="61" t="s">
        <v>151</v>
      </c>
      <c r="B11" s="101">
        <f>SUM(B8:B10)</f>
        <v>41050000</v>
      </c>
      <c r="C11" s="101">
        <f t="shared" ref="C11:H11" si="1">SUM(C8:C10)</f>
        <v>41907333.333333328</v>
      </c>
      <c r="D11" s="101">
        <f t="shared" si="1"/>
        <v>42605125</v>
      </c>
      <c r="E11" s="101">
        <f t="shared" si="1"/>
        <v>48362125</v>
      </c>
      <c r="F11" s="101">
        <f t="shared" si="1"/>
        <v>48995746.527777776</v>
      </c>
      <c r="G11" s="101">
        <f t="shared" si="1"/>
        <v>49678315.972222216</v>
      </c>
      <c r="H11" s="102">
        <f t="shared" si="1"/>
        <v>50416162.905092582</v>
      </c>
      <c r="I11" s="13"/>
      <c r="J11" s="13"/>
      <c r="K11" s="13"/>
      <c r="L11" s="13"/>
      <c r="M11" s="13"/>
      <c r="N11" s="13"/>
      <c r="O11" s="13"/>
      <c r="P11" s="13"/>
    </row>
    <row r="12" spans="1:16" x14ac:dyDescent="0.25">
      <c r="A12" s="181"/>
      <c r="B12" s="103"/>
      <c r="C12" s="22"/>
      <c r="D12" s="22"/>
      <c r="E12" s="22"/>
      <c r="F12" s="22"/>
      <c r="G12" s="22"/>
      <c r="H12" s="104"/>
      <c r="I12" s="13"/>
      <c r="J12" s="13"/>
      <c r="K12" s="13"/>
      <c r="L12" s="13"/>
      <c r="M12" s="13"/>
      <c r="N12" s="13"/>
      <c r="O12" s="13"/>
      <c r="P12" s="13"/>
    </row>
    <row r="13" spans="1:16" x14ac:dyDescent="0.25">
      <c r="A13" s="61" t="s">
        <v>202</v>
      </c>
      <c r="B13" s="105">
        <f t="shared" ref="B13:H13" si="2">B6+B11</f>
        <v>46050000</v>
      </c>
      <c r="C13" s="105">
        <f t="shared" si="2"/>
        <v>50456322.667533919</v>
      </c>
      <c r="D13" s="105">
        <f t="shared" si="2"/>
        <v>50591244.391692638</v>
      </c>
      <c r="E13" s="105">
        <f t="shared" si="2"/>
        <v>52586292.322975539</v>
      </c>
      <c r="F13" s="105">
        <f t="shared" si="2"/>
        <v>46283112.045871727</v>
      </c>
      <c r="G13" s="105">
        <f t="shared" si="2"/>
        <v>39145832.792872004</v>
      </c>
      <c r="H13" s="106">
        <f t="shared" si="2"/>
        <v>28699504.451506305</v>
      </c>
      <c r="I13" s="13"/>
      <c r="J13" s="13"/>
      <c r="K13" s="13"/>
      <c r="L13" s="13"/>
      <c r="M13" s="13"/>
      <c r="N13" s="13"/>
      <c r="O13" s="13"/>
      <c r="P13" s="13"/>
    </row>
    <row r="14" spans="1:16" x14ac:dyDescent="0.25">
      <c r="A14" s="181"/>
      <c r="B14" s="103"/>
      <c r="C14" s="22"/>
      <c r="D14" s="22"/>
      <c r="E14" s="22"/>
      <c r="F14" s="22"/>
      <c r="G14" s="22"/>
      <c r="H14" s="104"/>
      <c r="I14" s="13"/>
      <c r="J14" s="13"/>
      <c r="K14" s="13"/>
      <c r="L14" s="13"/>
      <c r="M14" s="13"/>
      <c r="N14" s="13"/>
      <c r="O14" s="13"/>
      <c r="P14" s="13"/>
    </row>
    <row r="15" spans="1:16" x14ac:dyDescent="0.25">
      <c r="A15" s="56" t="s">
        <v>152</v>
      </c>
      <c r="B15" s="95">
        <v>3300000</v>
      </c>
      <c r="C15" s="21">
        <f>$B$27*Summary!F40+Plant!C17</f>
        <v>6630170.9475524072</v>
      </c>
      <c r="D15" s="21">
        <f>$B$27*Summary!G40+Plant!D17</f>
        <v>6629507.9412309118</v>
      </c>
      <c r="E15" s="21">
        <f>$B$27*Summary!H40+Plant!E17</f>
        <v>6812653.7493557353</v>
      </c>
      <c r="F15" s="21">
        <f>$B$27*Summary!I40+Plant!F17</f>
        <v>7022372.0914177699</v>
      </c>
      <c r="G15" s="21">
        <f>$B$27*Summary!J40+Plant!G17</f>
        <v>7516294.5198553624</v>
      </c>
      <c r="H15" s="58">
        <f>$B$27*Summary!K40+Plant!H17</f>
        <v>7594257.4410864543</v>
      </c>
      <c r="I15" s="13"/>
      <c r="J15" s="13"/>
      <c r="K15" s="13"/>
      <c r="L15" s="13"/>
      <c r="M15" s="13"/>
      <c r="N15" s="13"/>
      <c r="O15" s="13"/>
      <c r="P15" s="13"/>
    </row>
    <row r="16" spans="1:16" ht="15" customHeight="1" x14ac:dyDescent="0.25">
      <c r="A16" s="56" t="s">
        <v>204</v>
      </c>
      <c r="B16" s="18">
        <f>Plant!B18-Plant!C17</f>
        <v>4300000</v>
      </c>
      <c r="C16" s="18">
        <f>Plant!C18-Plant!D17</f>
        <v>4000000</v>
      </c>
      <c r="D16" s="18">
        <f>Plant!D18-Plant!E17</f>
        <v>3700000</v>
      </c>
      <c r="E16" s="18">
        <f>Plant!E18-Plant!F17</f>
        <v>8300000</v>
      </c>
      <c r="F16" s="18">
        <f>Plant!F18-Plant!G17</f>
        <v>7700000</v>
      </c>
      <c r="G16" s="18">
        <f>Plant!G18-Plant!H17</f>
        <v>7100000</v>
      </c>
      <c r="H16" s="202">
        <f>Plant!H18-Plant!I17</f>
        <v>6400000</v>
      </c>
      <c r="I16" s="13"/>
      <c r="J16" s="13"/>
      <c r="K16" s="13"/>
      <c r="L16" s="13"/>
      <c r="M16" s="13"/>
      <c r="N16" s="13"/>
      <c r="O16" s="13"/>
      <c r="P16" s="13"/>
    </row>
    <row r="17" spans="1:16" x14ac:dyDescent="0.25">
      <c r="A17" s="182"/>
      <c r="B17" s="87"/>
      <c r="C17" s="13"/>
      <c r="D17" s="13"/>
      <c r="E17" s="13"/>
      <c r="F17" s="13"/>
      <c r="G17" s="13"/>
      <c r="H17" s="48"/>
      <c r="I17" s="13"/>
      <c r="J17" s="13"/>
      <c r="K17" s="13"/>
      <c r="L17" s="13"/>
      <c r="M17" s="13"/>
      <c r="N17" s="13"/>
      <c r="O17" s="13"/>
      <c r="P17" s="13"/>
    </row>
    <row r="18" spans="1:16" x14ac:dyDescent="0.25">
      <c r="A18" s="61" t="s">
        <v>203</v>
      </c>
      <c r="B18" s="107">
        <f t="shared" ref="B18:H18" si="3">B15+B16</f>
        <v>7600000</v>
      </c>
      <c r="C18" s="107">
        <f t="shared" si="3"/>
        <v>10630170.947552407</v>
      </c>
      <c r="D18" s="107">
        <f t="shared" si="3"/>
        <v>10329507.941230912</v>
      </c>
      <c r="E18" s="107">
        <f t="shared" si="3"/>
        <v>15112653.749355735</v>
      </c>
      <c r="F18" s="107">
        <f t="shared" si="3"/>
        <v>14722372.091417771</v>
      </c>
      <c r="G18" s="107">
        <f t="shared" si="3"/>
        <v>14616294.519855361</v>
      </c>
      <c r="H18" s="108">
        <f t="shared" si="3"/>
        <v>13994257.441086454</v>
      </c>
      <c r="I18" s="13"/>
      <c r="J18" s="13"/>
      <c r="K18" s="13"/>
      <c r="L18" s="13"/>
      <c r="M18" s="13"/>
      <c r="N18" s="13"/>
      <c r="O18" s="13"/>
      <c r="P18" s="13"/>
    </row>
    <row r="19" spans="1:16" x14ac:dyDescent="0.25">
      <c r="A19" s="56" t="s">
        <v>205</v>
      </c>
      <c r="B19" s="98">
        <f t="shared" ref="B19:H19" si="4">B13-B18</f>
        <v>38450000</v>
      </c>
      <c r="C19" s="98">
        <f t="shared" si="4"/>
        <v>39826151.719981514</v>
      </c>
      <c r="D19" s="98">
        <f t="shared" si="4"/>
        <v>40261736.45046173</v>
      </c>
      <c r="E19" s="98">
        <f t="shared" si="4"/>
        <v>37473638.573619805</v>
      </c>
      <c r="F19" s="98">
        <f t="shared" si="4"/>
        <v>31560739.954453956</v>
      </c>
      <c r="G19" s="98">
        <f t="shared" si="4"/>
        <v>24529538.273016643</v>
      </c>
      <c r="H19" s="109">
        <f t="shared" si="4"/>
        <v>14705247.010419851</v>
      </c>
      <c r="I19" s="13"/>
      <c r="J19" s="13"/>
      <c r="K19" s="13"/>
      <c r="L19" s="13"/>
      <c r="M19" s="13"/>
      <c r="N19" s="13"/>
      <c r="O19" s="13"/>
      <c r="P19" s="13"/>
    </row>
    <row r="20" spans="1:16" ht="15.75" thickBot="1" x14ac:dyDescent="0.3">
      <c r="A20" s="110" t="s">
        <v>161</v>
      </c>
      <c r="B20" s="111"/>
      <c r="C20" s="63">
        <f t="shared" ref="C20:H20" si="5">C19-B19</f>
        <v>1376151.7199815139</v>
      </c>
      <c r="D20" s="63">
        <f t="shared" si="5"/>
        <v>435584.73048021644</v>
      </c>
      <c r="E20" s="63">
        <f t="shared" si="5"/>
        <v>-2788097.8768419251</v>
      </c>
      <c r="F20" s="63">
        <f t="shared" si="5"/>
        <v>-5912898.6191658489</v>
      </c>
      <c r="G20" s="63">
        <f t="shared" si="5"/>
        <v>-7031201.6814373136</v>
      </c>
      <c r="H20" s="64">
        <f t="shared" si="5"/>
        <v>-9824291.2625967916</v>
      </c>
      <c r="I20" s="13"/>
      <c r="J20" s="13"/>
      <c r="K20" s="13"/>
      <c r="L20" s="13"/>
      <c r="M20" s="13"/>
      <c r="N20" s="13"/>
      <c r="O20" s="13"/>
      <c r="P20" s="13"/>
    </row>
    <row r="21" spans="1:16" x14ac:dyDescent="0.25">
      <c r="A21" s="11" t="s">
        <v>162</v>
      </c>
      <c r="B21" s="87"/>
      <c r="C21" s="4">
        <f>Summary!F42</f>
        <v>1376151.7199815214</v>
      </c>
      <c r="D21" s="4">
        <f>Summary!G42</f>
        <v>435584.73048020154</v>
      </c>
      <c r="E21" s="4">
        <f>Summary!H42</f>
        <v>-2788097.8768419176</v>
      </c>
      <c r="F21" s="4">
        <f>Summary!I42</f>
        <v>-5912898.6191658527</v>
      </c>
      <c r="G21" s="4">
        <f>Summary!J42</f>
        <v>-7031201.6814373136</v>
      </c>
      <c r="H21" s="4">
        <f>Summary!K42</f>
        <v>-9824291.262596786</v>
      </c>
      <c r="I21" s="13"/>
      <c r="J21" s="13"/>
      <c r="K21" s="13"/>
      <c r="L21" s="13"/>
      <c r="M21" s="13"/>
      <c r="N21" s="13"/>
      <c r="O21" s="13"/>
      <c r="P21" s="13"/>
    </row>
    <row r="22" spans="1:16" x14ac:dyDescent="0.25">
      <c r="A22" s="11" t="s">
        <v>163</v>
      </c>
      <c r="B22" s="87"/>
      <c r="C22" s="96">
        <f t="shared" ref="C22:H22" si="6">C20-C21</f>
        <v>-7.4505805969238281E-9</v>
      </c>
      <c r="D22" s="96">
        <f t="shared" si="6"/>
        <v>1.4901161193847656E-8</v>
      </c>
      <c r="E22" s="96">
        <f t="shared" si="6"/>
        <v>-7.4505805969238281E-9</v>
      </c>
      <c r="F22" s="96">
        <f t="shared" si="6"/>
        <v>0</v>
      </c>
      <c r="G22" s="96">
        <f t="shared" si="6"/>
        <v>0</v>
      </c>
      <c r="H22" s="96">
        <f t="shared" si="6"/>
        <v>0</v>
      </c>
      <c r="I22" s="13"/>
      <c r="J22" s="13"/>
      <c r="K22" s="13"/>
      <c r="L22" s="13"/>
      <c r="M22" s="13"/>
      <c r="N22" s="13"/>
      <c r="O22" s="13"/>
      <c r="P22" s="13"/>
    </row>
    <row r="23" spans="1:16" x14ac:dyDescent="0.25">
      <c r="A23" s="87"/>
      <c r="B23" s="87"/>
      <c r="C23" s="97"/>
      <c r="D23" s="97"/>
      <c r="E23" s="97"/>
      <c r="F23" s="97"/>
      <c r="G23" s="97"/>
      <c r="H23" s="97"/>
      <c r="I23" s="13"/>
      <c r="J23" s="13"/>
      <c r="K23" s="13"/>
      <c r="L23" s="13"/>
      <c r="M23" s="13"/>
      <c r="N23" s="13"/>
      <c r="O23" s="13"/>
      <c r="P23" s="13"/>
    </row>
    <row r="24" spans="1:16" x14ac:dyDescent="0.25">
      <c r="A24" s="12" t="s">
        <v>164</v>
      </c>
      <c r="B24" s="87"/>
      <c r="C24" s="97"/>
      <c r="D24" s="97"/>
      <c r="E24" s="97"/>
      <c r="F24" s="97"/>
      <c r="G24" s="97"/>
      <c r="H24" s="97"/>
      <c r="I24" s="13"/>
      <c r="J24" s="13"/>
      <c r="K24" s="13"/>
      <c r="L24" s="13"/>
      <c r="M24" s="13"/>
      <c r="N24" s="13"/>
      <c r="O24" s="13"/>
      <c r="P24" s="13"/>
    </row>
    <row r="25" spans="1:16" x14ac:dyDescent="0.25">
      <c r="A25" s="10" t="s">
        <v>148</v>
      </c>
      <c r="B25" s="162">
        <v>0.05</v>
      </c>
      <c r="C25" s="16"/>
      <c r="D25" s="16"/>
      <c r="E25" s="16"/>
      <c r="F25" s="16"/>
      <c r="G25" s="16"/>
      <c r="H25" s="16"/>
      <c r="I25" s="13"/>
      <c r="J25" s="13"/>
      <c r="K25" s="13"/>
      <c r="L25" s="13"/>
      <c r="M25" s="13"/>
      <c r="N25" s="13"/>
      <c r="O25" s="13"/>
      <c r="P25" s="13"/>
    </row>
    <row r="26" spans="1:16" x14ac:dyDescent="0.25">
      <c r="A26" s="10" t="s">
        <v>303</v>
      </c>
      <c r="B26" s="162">
        <v>0.02</v>
      </c>
      <c r="C26" s="163" t="s">
        <v>308</v>
      </c>
      <c r="D26" s="16"/>
      <c r="E26" s="16"/>
      <c r="F26" s="16"/>
      <c r="G26" s="16"/>
      <c r="H26" s="16"/>
      <c r="I26" s="13"/>
      <c r="J26" s="13"/>
      <c r="K26" s="13"/>
      <c r="L26" s="13"/>
      <c r="M26" s="13"/>
      <c r="N26" s="13"/>
      <c r="O26" s="13"/>
      <c r="P26" s="13"/>
    </row>
    <row r="27" spans="1:16" x14ac:dyDescent="0.25">
      <c r="A27" s="10" t="s">
        <v>153</v>
      </c>
      <c r="B27" s="162">
        <v>0.13</v>
      </c>
      <c r="C27" s="13"/>
      <c r="D27" s="164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 s="13" customFormat="1" x14ac:dyDescent="0.25"/>
    <row r="29" spans="1:16" s="13" customFormat="1" x14ac:dyDescent="0.25"/>
    <row r="30" spans="1:16" s="13" customFormat="1" x14ac:dyDescent="0.25"/>
    <row r="31" spans="1:16" s="13" customFormat="1" x14ac:dyDescent="0.25"/>
    <row r="32" spans="1:16" s="13" customFormat="1" x14ac:dyDescent="0.25"/>
    <row r="33" spans="1:1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1:16" x14ac:dyDescent="0.25">
      <c r="A34" s="13"/>
      <c r="B34" s="13"/>
      <c r="C34" s="16"/>
      <c r="D34" s="16"/>
      <c r="E34" s="16"/>
      <c r="F34" s="16"/>
      <c r="G34" s="16"/>
      <c r="H34" s="16"/>
      <c r="I34" s="13"/>
      <c r="J34" s="13"/>
      <c r="K34" s="13"/>
      <c r="L34" s="13"/>
      <c r="M34" s="13"/>
      <c r="N34" s="13"/>
      <c r="O34" s="13"/>
      <c r="P34" s="13"/>
    </row>
    <row r="35" spans="1:16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16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x14ac:dyDescent="0.25">
      <c r="A48" s="13"/>
      <c r="B48" s="13"/>
      <c r="C48" s="13"/>
      <c r="D48" s="13"/>
      <c r="E48" s="13"/>
      <c r="F48" s="13"/>
      <c r="G48" s="13"/>
      <c r="H48" s="13"/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A41D9-C4F4-4735-ACF4-7A142597FB54}">
  <dimension ref="A1:S46"/>
  <sheetViews>
    <sheetView workbookViewId="0"/>
  </sheetViews>
  <sheetFormatPr defaultRowHeight="15" x14ac:dyDescent="0.25"/>
  <cols>
    <col min="1" max="1" width="48.42578125" customWidth="1"/>
    <col min="2" max="2" width="11.42578125" customWidth="1"/>
    <col min="3" max="8" width="11.7109375" customWidth="1"/>
  </cols>
  <sheetData>
    <row r="1" spans="1:19" x14ac:dyDescent="0.25">
      <c r="A1" s="65" t="str">
        <f>Summary!A1</f>
        <v>Frozen Pond College</v>
      </c>
      <c r="B1" s="8"/>
      <c r="C1" s="8"/>
      <c r="D1" s="9" t="s">
        <v>274</v>
      </c>
      <c r="E1" s="8"/>
      <c r="F1" s="8"/>
      <c r="G1" s="8"/>
      <c r="H1" s="8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x14ac:dyDescent="0.25">
      <c r="A2" s="10" t="str">
        <f>BalSheet!A2</f>
        <v>Year End:</v>
      </c>
      <c r="B2" s="7">
        <f>C2-1</f>
        <v>2021</v>
      </c>
      <c r="C2" s="138">
        <f>Summary!F3</f>
        <v>2022</v>
      </c>
      <c r="D2" s="138">
        <f>Summary!G3</f>
        <v>2023</v>
      </c>
      <c r="E2" s="138">
        <f>Summary!H3</f>
        <v>2024</v>
      </c>
      <c r="F2" s="138">
        <f>Summary!I3</f>
        <v>2025</v>
      </c>
      <c r="G2" s="138">
        <f>Summary!J3</f>
        <v>2026</v>
      </c>
      <c r="H2" s="138">
        <f>Summary!K3</f>
        <v>2027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25">
      <c r="A3" s="10" t="s">
        <v>275</v>
      </c>
      <c r="B3" s="2">
        <v>50000000</v>
      </c>
      <c r="C3" s="4">
        <f>B3+B6-B7</f>
        <v>52900000</v>
      </c>
      <c r="D3" s="4">
        <f>C3+C6-C7</f>
        <v>55522916.666666664</v>
      </c>
      <c r="E3" s="4">
        <f>D3+D6-D7</f>
        <v>58306250</v>
      </c>
      <c r="F3" s="4">
        <f t="shared" ref="F3:H3" si="0">E3+E6-E7</f>
        <v>61218159.722222216</v>
      </c>
      <c r="G3" s="4">
        <f t="shared" si="0"/>
        <v>64269965.277777769</v>
      </c>
      <c r="H3" s="4">
        <f t="shared" si="0"/>
        <v>67474325.810185164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x14ac:dyDescent="0.25">
      <c r="A4" s="10" t="s">
        <v>276</v>
      </c>
      <c r="B4" s="131">
        <f>Summary!B21</f>
        <v>0.1</v>
      </c>
      <c r="C4" s="28">
        <f>B4</f>
        <v>0.1</v>
      </c>
      <c r="D4" s="28">
        <f t="shared" ref="D4:H5" si="1">C4</f>
        <v>0.1</v>
      </c>
      <c r="E4" s="28">
        <f t="shared" si="1"/>
        <v>0.1</v>
      </c>
      <c r="F4" s="28">
        <f t="shared" si="1"/>
        <v>0.1</v>
      </c>
      <c r="G4" s="28">
        <f t="shared" si="1"/>
        <v>0.1</v>
      </c>
      <c r="H4" s="28">
        <f t="shared" si="1"/>
        <v>0.1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19" x14ac:dyDescent="0.25">
      <c r="A5" s="10" t="s">
        <v>278</v>
      </c>
      <c r="B5" s="131">
        <f>Summary!B22</f>
        <v>0.05</v>
      </c>
      <c r="C5" s="28">
        <f>B5</f>
        <v>0.05</v>
      </c>
      <c r="D5" s="28">
        <f t="shared" si="1"/>
        <v>0.05</v>
      </c>
      <c r="E5" s="28">
        <f t="shared" si="1"/>
        <v>0.05</v>
      </c>
      <c r="F5" s="28">
        <f t="shared" si="1"/>
        <v>0.05</v>
      </c>
      <c r="G5" s="28">
        <f t="shared" si="1"/>
        <v>0.05</v>
      </c>
      <c r="H5" s="28">
        <f t="shared" si="1"/>
        <v>0.05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19" x14ac:dyDescent="0.25">
      <c r="A6" s="10" t="s">
        <v>280</v>
      </c>
      <c r="B6" s="132">
        <v>4900000</v>
      </c>
      <c r="C6" s="126">
        <f>B3*C4</f>
        <v>5000000</v>
      </c>
      <c r="D6" s="126">
        <f t="shared" ref="D6:H6" si="2">C3*D4</f>
        <v>5290000</v>
      </c>
      <c r="E6" s="126">
        <f t="shared" si="2"/>
        <v>5552291.666666667</v>
      </c>
      <c r="F6" s="126">
        <f t="shared" si="2"/>
        <v>5830625</v>
      </c>
      <c r="G6" s="126">
        <f t="shared" si="2"/>
        <v>6121815.972222222</v>
      </c>
      <c r="H6" s="126">
        <f t="shared" si="2"/>
        <v>6426996.5277777771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x14ac:dyDescent="0.25">
      <c r="A7" s="10" t="s">
        <v>281</v>
      </c>
      <c r="B7" s="132">
        <v>2000000</v>
      </c>
      <c r="C7" s="126">
        <f>C5*(B15+B14+B3)/3</f>
        <v>2377083.3333333335</v>
      </c>
      <c r="D7" s="126">
        <f>D5*(B14+B3+C3)/3</f>
        <v>2506666.6666666665</v>
      </c>
      <c r="E7" s="126">
        <f>E5*(B3+C3+D3)/3</f>
        <v>2640381.9444444445</v>
      </c>
      <c r="F7" s="126">
        <f t="shared" ref="F7:H7" si="3">F5*(C3+D3+E3)/3</f>
        <v>2778819.4444444445</v>
      </c>
      <c r="G7" s="126">
        <f t="shared" si="3"/>
        <v>2917455.4398148148</v>
      </c>
      <c r="H7" s="126">
        <f t="shared" si="3"/>
        <v>3063239.5833333326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19" x14ac:dyDescent="0.25">
      <c r="A8" s="10" t="s">
        <v>320</v>
      </c>
      <c r="B8" s="26">
        <v>0.5</v>
      </c>
      <c r="C8" s="28">
        <f>B8</f>
        <v>0.5</v>
      </c>
      <c r="D8" s="28">
        <f t="shared" ref="D8:H8" si="4">C8</f>
        <v>0.5</v>
      </c>
      <c r="E8" s="28">
        <f t="shared" si="4"/>
        <v>0.5</v>
      </c>
      <c r="F8" s="28">
        <f t="shared" si="4"/>
        <v>0.5</v>
      </c>
      <c r="G8" s="28">
        <f t="shared" si="4"/>
        <v>0.5</v>
      </c>
      <c r="H8" s="28">
        <f t="shared" si="4"/>
        <v>0.5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 x14ac:dyDescent="0.25">
      <c r="A9" s="10" t="s">
        <v>321</v>
      </c>
      <c r="B9" s="4">
        <f>B3*B8</f>
        <v>25000000</v>
      </c>
      <c r="C9" s="4">
        <f t="shared" ref="C9:H9" si="5">C3*C8</f>
        <v>26450000</v>
      </c>
      <c r="D9" s="4">
        <f t="shared" si="5"/>
        <v>27761458.333333332</v>
      </c>
      <c r="E9" s="4">
        <f t="shared" si="5"/>
        <v>29153125</v>
      </c>
      <c r="F9" s="4">
        <f t="shared" si="5"/>
        <v>30609079.861111108</v>
      </c>
      <c r="G9" s="4">
        <f t="shared" si="5"/>
        <v>32134982.638888884</v>
      </c>
      <c r="H9" s="4">
        <f t="shared" si="5"/>
        <v>33737162.905092582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x14ac:dyDescent="0.25">
      <c r="A10" s="10" t="s">
        <v>282</v>
      </c>
      <c r="B10" s="6">
        <f t="shared" ref="B10:H10" si="6">B6*B8</f>
        <v>2450000</v>
      </c>
      <c r="C10" s="6">
        <f t="shared" si="6"/>
        <v>2500000</v>
      </c>
      <c r="D10" s="6">
        <f t="shared" si="6"/>
        <v>2645000</v>
      </c>
      <c r="E10" s="6">
        <f t="shared" si="6"/>
        <v>2776145.8333333335</v>
      </c>
      <c r="F10" s="6">
        <f t="shared" si="6"/>
        <v>2915312.5</v>
      </c>
      <c r="G10" s="6">
        <f t="shared" si="6"/>
        <v>3060907.986111111</v>
      </c>
      <c r="H10" s="6">
        <f t="shared" si="6"/>
        <v>3213498.2638888885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x14ac:dyDescent="0.25">
      <c r="A11" s="10" t="s">
        <v>283</v>
      </c>
      <c r="B11" s="126">
        <f t="shared" ref="B11:H11" si="7">B7*B8</f>
        <v>1000000</v>
      </c>
      <c r="C11" s="126">
        <f t="shared" si="7"/>
        <v>1188541.6666666667</v>
      </c>
      <c r="D11" s="126">
        <f t="shared" si="7"/>
        <v>1253333.3333333333</v>
      </c>
      <c r="E11" s="126">
        <f t="shared" si="7"/>
        <v>1320190.9722222222</v>
      </c>
      <c r="F11" s="126">
        <f t="shared" si="7"/>
        <v>1389409.7222222222</v>
      </c>
      <c r="G11" s="126">
        <f t="shared" si="7"/>
        <v>1458727.7199074074</v>
      </c>
      <c r="H11" s="126">
        <f t="shared" si="7"/>
        <v>1531619.7916666663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x14ac:dyDescent="0.25">
      <c r="A12" s="7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x14ac:dyDescent="0.25">
      <c r="A13" s="179" t="s">
        <v>328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x14ac:dyDescent="0.25">
      <c r="A14" s="137" t="str">
        <f>"Year end "&amp; TEXT(B2-1,0)</f>
        <v>Year end 2020</v>
      </c>
      <c r="B14" s="2">
        <v>47500000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x14ac:dyDescent="0.25">
      <c r="A15" s="137" t="str">
        <f>"Year end "&amp; TEXT(B2-2,0)</f>
        <v>Year end 2019</v>
      </c>
      <c r="B15" s="2">
        <v>45125000.000000007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x14ac:dyDescent="0.25">
      <c r="A16" s="72"/>
      <c r="B16" s="13"/>
      <c r="C16" s="13"/>
      <c r="D16" s="13"/>
      <c r="E16" s="13"/>
      <c r="F16" s="13"/>
      <c r="G16" s="13"/>
      <c r="H16" s="8"/>
      <c r="I16" s="114" t="s">
        <v>337</v>
      </c>
      <c r="J16" s="8"/>
      <c r="K16" s="8"/>
      <c r="L16" s="13"/>
      <c r="M16" s="13"/>
      <c r="N16" s="13"/>
      <c r="O16" s="13"/>
      <c r="P16" s="13"/>
      <c r="Q16" s="13"/>
      <c r="R16" s="13"/>
      <c r="S16" s="13"/>
    </row>
    <row r="17" spans="1:19" x14ac:dyDescent="0.25">
      <c r="A17" s="10" t="s">
        <v>300</v>
      </c>
      <c r="B17" s="2">
        <v>1000000</v>
      </c>
      <c r="C17" s="4">
        <f>B17*(1+$I$17)</f>
        <v>1000000</v>
      </c>
      <c r="D17" s="4">
        <f t="shared" ref="D17:H17" si="8">C17*(1+$I$17)</f>
        <v>1000000</v>
      </c>
      <c r="E17" s="4">
        <f t="shared" si="8"/>
        <v>1000000</v>
      </c>
      <c r="F17" s="4">
        <f t="shared" si="8"/>
        <v>1000000</v>
      </c>
      <c r="G17" s="4">
        <f t="shared" si="8"/>
        <v>1000000</v>
      </c>
      <c r="H17" s="4">
        <f t="shared" si="8"/>
        <v>1000000</v>
      </c>
      <c r="I17" s="26">
        <v>0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1:19" x14ac:dyDescent="0.25">
      <c r="A18" s="7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19" x14ac:dyDescent="0.25">
      <c r="A19" s="7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x14ac:dyDescent="0.25">
      <c r="A20" s="7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x14ac:dyDescent="0.25">
      <c r="A21" s="7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x14ac:dyDescent="0.25">
      <c r="A22" s="7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 x14ac:dyDescent="0.25">
      <c r="A23" s="7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19" x14ac:dyDescent="0.25">
      <c r="A24" s="7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x14ac:dyDescent="0.25">
      <c r="A25" s="7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x14ac:dyDescent="0.25">
      <c r="A26" s="7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19" x14ac:dyDescent="0.25">
      <c r="A27" s="7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 x14ac:dyDescent="0.25">
      <c r="A28" s="7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 x14ac:dyDescent="0.25">
      <c r="A29" s="7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19" x14ac:dyDescent="0.25">
      <c r="A30" s="7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19" x14ac:dyDescent="0.25">
      <c r="A31" s="7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19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1:19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1:19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1:19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1:19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1:19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1:19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19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19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955E6-1161-4428-905C-E50946D2126A}">
  <dimension ref="A1:P43"/>
  <sheetViews>
    <sheetView workbookViewId="0"/>
  </sheetViews>
  <sheetFormatPr defaultRowHeight="15" x14ac:dyDescent="0.25"/>
  <cols>
    <col min="1" max="1" width="47.85546875" customWidth="1"/>
    <col min="2" max="2" width="13.28515625" bestFit="1" customWidth="1"/>
    <col min="3" max="3" width="11.7109375" customWidth="1"/>
    <col min="4" max="9" width="11.85546875" customWidth="1"/>
  </cols>
  <sheetData>
    <row r="1" spans="1:16" ht="15.75" x14ac:dyDescent="0.25">
      <c r="A1" s="86" t="str">
        <f>Summary!A1</f>
        <v>Frozen Pond College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x14ac:dyDescent="0.25">
      <c r="A2" s="11" t="s">
        <v>330</v>
      </c>
      <c r="B2" s="135">
        <f>C2-1</f>
        <v>2021</v>
      </c>
      <c r="C2" s="135">
        <f>Summary!F3</f>
        <v>2022</v>
      </c>
      <c r="D2" s="135">
        <f>Summary!G3</f>
        <v>2023</v>
      </c>
      <c r="E2" s="135">
        <f>Summary!H3</f>
        <v>2024</v>
      </c>
      <c r="F2" s="135">
        <f>Summary!I3</f>
        <v>2025</v>
      </c>
      <c r="G2" s="135">
        <f>Summary!J3</f>
        <v>2026</v>
      </c>
      <c r="H2" s="135">
        <f>Summary!K3</f>
        <v>2027</v>
      </c>
      <c r="I2" s="9" t="s">
        <v>285</v>
      </c>
      <c r="J2" s="13"/>
      <c r="K2" s="13"/>
      <c r="L2" s="13"/>
      <c r="M2" s="13"/>
      <c r="N2" s="13"/>
      <c r="O2" s="13"/>
      <c r="P2" s="13"/>
    </row>
    <row r="3" spans="1:16" x14ac:dyDescent="0.25">
      <c r="A3" s="10" t="s">
        <v>206</v>
      </c>
      <c r="B3" s="136">
        <v>1000000</v>
      </c>
      <c r="C3" s="6">
        <f>B3</f>
        <v>1000000</v>
      </c>
      <c r="D3" s="6">
        <f t="shared" ref="D3:H3" si="0">C3</f>
        <v>1000000</v>
      </c>
      <c r="E3" s="6">
        <f t="shared" si="0"/>
        <v>1000000</v>
      </c>
      <c r="F3" s="6">
        <f t="shared" si="0"/>
        <v>1000000</v>
      </c>
      <c r="G3" s="6">
        <f t="shared" si="0"/>
        <v>1000000</v>
      </c>
      <c r="H3" s="6">
        <f t="shared" si="0"/>
        <v>1000000</v>
      </c>
      <c r="I3" s="92"/>
      <c r="J3" s="13"/>
      <c r="K3" s="13"/>
      <c r="L3" s="13"/>
      <c r="M3" s="13"/>
      <c r="N3" s="13"/>
      <c r="O3" s="13"/>
      <c r="P3" s="13"/>
    </row>
    <row r="4" spans="1:16" x14ac:dyDescent="0.25">
      <c r="A4" s="10" t="s">
        <v>207</v>
      </c>
      <c r="B4" s="2">
        <v>20000000</v>
      </c>
      <c r="C4" s="6">
        <f>B4+B7</f>
        <v>20000000</v>
      </c>
      <c r="D4" s="6">
        <f t="shared" ref="D4:H4" si="1">C4+C7</f>
        <v>20000000</v>
      </c>
      <c r="E4" s="6">
        <f t="shared" si="1"/>
        <v>20000000</v>
      </c>
      <c r="F4" s="6">
        <f t="shared" si="1"/>
        <v>25000000</v>
      </c>
      <c r="G4" s="6">
        <f t="shared" si="1"/>
        <v>25000000</v>
      </c>
      <c r="H4" s="6">
        <f t="shared" si="1"/>
        <v>25000000</v>
      </c>
      <c r="I4" s="3">
        <v>30</v>
      </c>
      <c r="J4" s="13"/>
      <c r="K4" s="13"/>
      <c r="L4" s="13"/>
      <c r="M4" s="13"/>
      <c r="N4" s="13"/>
      <c r="O4" s="13"/>
      <c r="P4" s="13"/>
    </row>
    <row r="5" spans="1:16" x14ac:dyDescent="0.25">
      <c r="A5" s="10" t="s">
        <v>208</v>
      </c>
      <c r="B5" s="2">
        <v>1000000</v>
      </c>
      <c r="C5" s="6">
        <f>B5+B6</f>
        <v>1200000</v>
      </c>
      <c r="D5" s="6">
        <f t="shared" ref="D5:H5" si="2">C5+C6</f>
        <v>1400000</v>
      </c>
      <c r="E5" s="6">
        <f t="shared" si="2"/>
        <v>1600000</v>
      </c>
      <c r="F5" s="6">
        <f t="shared" si="2"/>
        <v>1800000</v>
      </c>
      <c r="G5" s="6">
        <f t="shared" si="2"/>
        <v>2000000</v>
      </c>
      <c r="H5" s="6">
        <f t="shared" si="2"/>
        <v>2200000</v>
      </c>
      <c r="I5" s="3">
        <v>10</v>
      </c>
      <c r="J5" s="13"/>
      <c r="K5" s="13"/>
      <c r="L5" s="13"/>
      <c r="M5" s="13"/>
      <c r="N5" s="13"/>
      <c r="O5" s="13"/>
      <c r="P5" s="13"/>
    </row>
    <row r="6" spans="1:16" x14ac:dyDescent="0.25">
      <c r="A6" s="10" t="s">
        <v>286</v>
      </c>
      <c r="B6" s="2">
        <v>200000</v>
      </c>
      <c r="C6" s="6">
        <f>B6</f>
        <v>200000</v>
      </c>
      <c r="D6" s="6">
        <f t="shared" ref="D6:H6" si="3">C6</f>
        <v>200000</v>
      </c>
      <c r="E6" s="6">
        <f t="shared" si="3"/>
        <v>200000</v>
      </c>
      <c r="F6" s="6">
        <f t="shared" si="3"/>
        <v>200000</v>
      </c>
      <c r="G6" s="6">
        <f t="shared" si="3"/>
        <v>200000</v>
      </c>
      <c r="H6" s="6">
        <f t="shared" si="3"/>
        <v>200000</v>
      </c>
      <c r="I6" s="16"/>
      <c r="J6" s="13"/>
      <c r="K6" s="13"/>
      <c r="L6" s="13"/>
      <c r="M6" s="13"/>
      <c r="N6" s="13"/>
      <c r="O6" s="13"/>
      <c r="P6" s="13"/>
    </row>
    <row r="7" spans="1:16" x14ac:dyDescent="0.25">
      <c r="A7" s="10" t="s">
        <v>209</v>
      </c>
      <c r="B7" s="2">
        <v>0</v>
      </c>
      <c r="C7" s="2">
        <v>0</v>
      </c>
      <c r="D7" s="2">
        <v>0</v>
      </c>
      <c r="E7" s="2">
        <v>5000000</v>
      </c>
      <c r="F7" s="2">
        <v>0</v>
      </c>
      <c r="G7" s="2">
        <v>0</v>
      </c>
      <c r="H7" s="2">
        <v>0</v>
      </c>
      <c r="I7" s="13"/>
      <c r="J7" s="13"/>
      <c r="K7" s="13"/>
      <c r="L7" s="13"/>
      <c r="M7" s="13"/>
      <c r="N7" s="13"/>
      <c r="O7" s="13"/>
      <c r="P7" s="13"/>
    </row>
    <row r="8" spans="1:16" x14ac:dyDescent="0.25">
      <c r="A8" s="10" t="s">
        <v>210</v>
      </c>
      <c r="B8" s="2">
        <v>50000</v>
      </c>
      <c r="C8" s="6">
        <f>B8+B9</f>
        <v>55000</v>
      </c>
      <c r="D8" s="6">
        <f t="shared" ref="D8:H8" si="4">C8+C9</f>
        <v>60000</v>
      </c>
      <c r="E8" s="6">
        <f t="shared" si="4"/>
        <v>65000</v>
      </c>
      <c r="F8" s="6">
        <f t="shared" si="4"/>
        <v>70000</v>
      </c>
      <c r="G8" s="6">
        <f t="shared" si="4"/>
        <v>75000</v>
      </c>
      <c r="H8" s="6">
        <f t="shared" si="4"/>
        <v>80000</v>
      </c>
      <c r="I8" s="3">
        <v>5</v>
      </c>
      <c r="J8" s="13"/>
      <c r="K8" s="13"/>
      <c r="L8" s="13"/>
      <c r="M8" s="13"/>
      <c r="N8" s="13"/>
      <c r="O8" s="13"/>
      <c r="P8" s="13"/>
    </row>
    <row r="9" spans="1:16" x14ac:dyDescent="0.25">
      <c r="A9" s="10" t="s">
        <v>287</v>
      </c>
      <c r="B9" s="2">
        <v>5000</v>
      </c>
      <c r="C9" s="2">
        <v>5000</v>
      </c>
      <c r="D9" s="2">
        <v>5000</v>
      </c>
      <c r="E9" s="2">
        <v>5000</v>
      </c>
      <c r="F9" s="2">
        <v>5000</v>
      </c>
      <c r="G9" s="2">
        <v>5000</v>
      </c>
      <c r="H9" s="2">
        <v>5000</v>
      </c>
      <c r="I9" s="13"/>
      <c r="J9" s="13"/>
      <c r="K9" s="13"/>
      <c r="L9" s="13"/>
      <c r="M9" s="13"/>
      <c r="N9" s="13"/>
      <c r="O9" s="13"/>
      <c r="P9" s="13"/>
    </row>
    <row r="10" spans="1:16" x14ac:dyDescent="0.25">
      <c r="A10" s="10" t="s">
        <v>211</v>
      </c>
      <c r="B10" s="6">
        <f>B3+B4+B5+B7+B8</f>
        <v>22050000</v>
      </c>
      <c r="C10" s="6">
        <f t="shared" ref="C10:H10" si="5">C3+C4+C5+C7+C8</f>
        <v>22255000</v>
      </c>
      <c r="D10" s="6">
        <f t="shared" si="5"/>
        <v>22460000</v>
      </c>
      <c r="E10" s="6">
        <f t="shared" si="5"/>
        <v>27665000</v>
      </c>
      <c r="F10" s="6">
        <f t="shared" si="5"/>
        <v>27870000</v>
      </c>
      <c r="G10" s="6">
        <f t="shared" si="5"/>
        <v>28075000</v>
      </c>
      <c r="H10" s="6">
        <f t="shared" si="5"/>
        <v>28280000</v>
      </c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10" t="s">
        <v>212</v>
      </c>
      <c r="B11" s="2">
        <v>7000000</v>
      </c>
      <c r="C11" s="5">
        <f>B11+C4/$I$4+C5/$I$5+C8/$I$8</f>
        <v>7797666.666666667</v>
      </c>
      <c r="D11" s="5">
        <f t="shared" ref="D11:H11" si="6">C11+D4/$I$4+D5/$I$5+D8/$I$8</f>
        <v>8616333.333333334</v>
      </c>
      <c r="E11" s="5">
        <f t="shared" si="6"/>
        <v>9456000</v>
      </c>
      <c r="F11" s="5">
        <f t="shared" si="6"/>
        <v>10483333.333333334</v>
      </c>
      <c r="G11" s="5">
        <f t="shared" si="6"/>
        <v>11531666.666666668</v>
      </c>
      <c r="H11" s="5">
        <f t="shared" si="6"/>
        <v>12601000.000000002</v>
      </c>
      <c r="I11" s="13"/>
      <c r="J11" s="13"/>
      <c r="K11" s="13"/>
      <c r="L11" s="13"/>
      <c r="M11" s="13"/>
      <c r="N11" s="13"/>
      <c r="O11" s="13"/>
      <c r="P11" s="13"/>
    </row>
    <row r="12" spans="1:16" x14ac:dyDescent="0.25">
      <c r="A12" s="10" t="s">
        <v>213</v>
      </c>
      <c r="B12" s="6">
        <f>B10-B11</f>
        <v>15050000</v>
      </c>
      <c r="C12" s="6">
        <f t="shared" ref="C12:H12" si="7">C10-C11</f>
        <v>14457333.333333332</v>
      </c>
      <c r="D12" s="6">
        <f t="shared" si="7"/>
        <v>13843666.666666666</v>
      </c>
      <c r="E12" s="6">
        <f t="shared" si="7"/>
        <v>18209000</v>
      </c>
      <c r="F12" s="6">
        <f t="shared" si="7"/>
        <v>17386666.666666664</v>
      </c>
      <c r="G12" s="6">
        <f t="shared" si="7"/>
        <v>16543333.333333332</v>
      </c>
      <c r="H12" s="6">
        <f t="shared" si="7"/>
        <v>15678999.999999998</v>
      </c>
      <c r="I12" s="13"/>
      <c r="J12" s="13"/>
      <c r="K12" s="13"/>
      <c r="L12" s="13"/>
      <c r="M12" s="13"/>
      <c r="N12" s="13"/>
      <c r="O12" s="13"/>
      <c r="P12" s="13"/>
    </row>
    <row r="13" spans="1:16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x14ac:dyDescent="0.25">
      <c r="A14" s="10" t="s">
        <v>329</v>
      </c>
      <c r="B14" s="11">
        <f>BalSheet!B2</f>
        <v>2021</v>
      </c>
      <c r="C14" s="11">
        <f>BalSheet!C2</f>
        <v>2022</v>
      </c>
      <c r="D14" s="11">
        <f>BalSheet!D2</f>
        <v>2023</v>
      </c>
      <c r="E14" s="11">
        <f>BalSheet!E2</f>
        <v>2024</v>
      </c>
      <c r="F14" s="11">
        <f>BalSheet!F2</f>
        <v>2025</v>
      </c>
      <c r="G14" s="11">
        <f>BalSheet!G2</f>
        <v>2026</v>
      </c>
      <c r="H14" s="11">
        <f>BalSheet!H2</f>
        <v>2027</v>
      </c>
      <c r="I14" s="11">
        <f>H14+1</f>
        <v>2028</v>
      </c>
      <c r="J14" s="13"/>
      <c r="K14" s="13"/>
      <c r="L14" s="13"/>
      <c r="M14" s="13"/>
      <c r="N14" s="13"/>
      <c r="O14" s="13"/>
      <c r="P14" s="13"/>
    </row>
    <row r="15" spans="1:16" x14ac:dyDescent="0.25">
      <c r="A15" s="11" t="s">
        <v>157</v>
      </c>
      <c r="B15" s="2">
        <v>5000000</v>
      </c>
      <c r="C15" s="6">
        <f t="shared" ref="C15:H15" si="8">B18</f>
        <v>4700000</v>
      </c>
      <c r="D15" s="6">
        <f t="shared" si="8"/>
        <v>4300000</v>
      </c>
      <c r="E15" s="6">
        <f t="shared" si="8"/>
        <v>4000000</v>
      </c>
      <c r="F15" s="6">
        <f t="shared" si="8"/>
        <v>8700000</v>
      </c>
      <c r="G15" s="6">
        <f t="shared" si="8"/>
        <v>8300000</v>
      </c>
      <c r="H15" s="6">
        <f t="shared" si="8"/>
        <v>7700000</v>
      </c>
      <c r="I15" s="13"/>
      <c r="J15" s="13"/>
      <c r="K15" s="13"/>
      <c r="L15" s="13"/>
      <c r="M15" s="13"/>
      <c r="N15" s="13"/>
      <c r="O15" s="13"/>
      <c r="P15" s="13"/>
    </row>
    <row r="16" spans="1:16" x14ac:dyDescent="0.25">
      <c r="A16" s="11" t="s">
        <v>155</v>
      </c>
      <c r="B16" s="21">
        <f>B7</f>
        <v>0</v>
      </c>
      <c r="C16" s="21">
        <f t="shared" ref="C16:H16" si="9">C7</f>
        <v>0</v>
      </c>
      <c r="D16" s="21">
        <f t="shared" si="9"/>
        <v>0</v>
      </c>
      <c r="E16" s="21">
        <f t="shared" si="9"/>
        <v>5000000</v>
      </c>
      <c r="F16" s="21">
        <f t="shared" si="9"/>
        <v>0</v>
      </c>
      <c r="G16" s="21">
        <f t="shared" si="9"/>
        <v>0</v>
      </c>
      <c r="H16" s="21">
        <f t="shared" si="9"/>
        <v>0</v>
      </c>
      <c r="I16" s="13"/>
      <c r="J16" s="13"/>
      <c r="K16" s="13"/>
      <c r="L16" s="13"/>
      <c r="M16" s="13"/>
      <c r="N16" s="13"/>
      <c r="O16" s="13"/>
      <c r="P16" s="13"/>
    </row>
    <row r="17" spans="1:16" x14ac:dyDescent="0.25">
      <c r="A17" s="11" t="s">
        <v>156</v>
      </c>
      <c r="B17" s="2">
        <v>300000</v>
      </c>
      <c r="C17" s="2">
        <v>400000</v>
      </c>
      <c r="D17" s="2">
        <v>300000</v>
      </c>
      <c r="E17" s="2">
        <v>300000</v>
      </c>
      <c r="F17" s="2">
        <v>400000</v>
      </c>
      <c r="G17" s="2">
        <v>600000</v>
      </c>
      <c r="H17" s="2">
        <v>600000</v>
      </c>
      <c r="I17" s="2">
        <v>700000</v>
      </c>
      <c r="J17" s="13"/>
      <c r="K17" s="13"/>
      <c r="L17" s="13"/>
      <c r="M17" s="13"/>
      <c r="N17" s="13"/>
      <c r="O17" s="13"/>
      <c r="P17" s="13"/>
    </row>
    <row r="18" spans="1:16" x14ac:dyDescent="0.25">
      <c r="A18" s="11" t="s">
        <v>158</v>
      </c>
      <c r="B18" s="6">
        <f t="shared" ref="B18:H18" si="10">B15+B16-B17</f>
        <v>4700000</v>
      </c>
      <c r="C18" s="6">
        <f t="shared" si="10"/>
        <v>4300000</v>
      </c>
      <c r="D18" s="6">
        <f t="shared" si="10"/>
        <v>4000000</v>
      </c>
      <c r="E18" s="6">
        <f t="shared" si="10"/>
        <v>8700000</v>
      </c>
      <c r="F18" s="6">
        <f t="shared" si="10"/>
        <v>8300000</v>
      </c>
      <c r="G18" s="6">
        <f t="shared" si="10"/>
        <v>7700000</v>
      </c>
      <c r="H18" s="6">
        <f t="shared" si="10"/>
        <v>7100000</v>
      </c>
      <c r="I18" s="13"/>
      <c r="J18" s="13"/>
      <c r="K18" s="13"/>
      <c r="L18" s="13"/>
      <c r="M18" s="13"/>
      <c r="N18" s="13"/>
      <c r="O18" s="13"/>
      <c r="P18" s="13"/>
    </row>
    <row r="19" spans="1:16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x14ac:dyDescent="0.25">
      <c r="A20" s="179" t="s">
        <v>214</v>
      </c>
      <c r="B20" s="114" t="s">
        <v>225</v>
      </c>
      <c r="C20" s="114" t="s">
        <v>226</v>
      </c>
      <c r="D20" s="114" t="s">
        <v>331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x14ac:dyDescent="0.25">
      <c r="A21" s="11" t="s">
        <v>228</v>
      </c>
      <c r="B21" s="173">
        <v>0.8</v>
      </c>
      <c r="C21" s="28">
        <f>D21-B21</f>
        <v>0.19999999999999996</v>
      </c>
      <c r="D21" s="194">
        <v>1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x14ac:dyDescent="0.25">
      <c r="A22" s="13"/>
      <c r="B22" s="114" t="s">
        <v>225</v>
      </c>
      <c r="C22" s="114" t="s">
        <v>336</v>
      </c>
      <c r="D22" s="135">
        <f>Staffing!B154</f>
        <v>2022</v>
      </c>
      <c r="E22" s="135">
        <f>Staffing!C154</f>
        <v>2023</v>
      </c>
      <c r="F22" s="135">
        <f>Staffing!D154</f>
        <v>2024</v>
      </c>
      <c r="G22" s="135">
        <f>Staffing!E154</f>
        <v>2025</v>
      </c>
      <c r="H22" s="135">
        <f>Staffing!F154</f>
        <v>2026</v>
      </c>
      <c r="I22" s="135">
        <f>Staffing!G154</f>
        <v>2027</v>
      </c>
      <c r="J22" s="13"/>
      <c r="K22" s="13"/>
      <c r="L22" s="13"/>
      <c r="M22" s="13"/>
      <c r="N22" s="13"/>
      <c r="O22" s="13"/>
      <c r="P22" s="13"/>
    </row>
    <row r="23" spans="1:16" x14ac:dyDescent="0.25">
      <c r="A23" s="193" t="str">
        <f>Staffing!A155</f>
        <v>Instruction</v>
      </c>
      <c r="B23" s="26">
        <v>0.4</v>
      </c>
      <c r="C23" s="198">
        <f>Staffing!B155/(SUM(Staffing!B$155:B$164)-Cash!$B$23)</f>
        <v>0.57822310140190936</v>
      </c>
      <c r="D23" s="133">
        <f t="shared" ref="D23:I32" si="11">$B$21*$B23*D$34+$C$21*$C23*D$34</f>
        <v>1671423.1931423992</v>
      </c>
      <c r="E23" s="133">
        <f t="shared" si="11"/>
        <v>1706820.6650780973</v>
      </c>
      <c r="F23" s="133">
        <f t="shared" si="11"/>
        <v>1761161.8115698439</v>
      </c>
      <c r="G23" s="133">
        <f t="shared" si="11"/>
        <v>1958187.2273982954</v>
      </c>
      <c r="H23" s="133">
        <f t="shared" si="11"/>
        <v>1999658.4409516817</v>
      </c>
      <c r="I23" s="133">
        <f t="shared" si="11"/>
        <v>2041987.2028563872</v>
      </c>
      <c r="J23" s="13"/>
      <c r="K23" s="13"/>
      <c r="L23" s="13"/>
      <c r="M23" s="13"/>
      <c r="N23" s="13"/>
      <c r="O23" s="13"/>
      <c r="P23" s="13"/>
    </row>
    <row r="24" spans="1:16" x14ac:dyDescent="0.25">
      <c r="A24" s="193" t="str">
        <f>Staffing!A156</f>
        <v>Research</v>
      </c>
      <c r="B24" s="26">
        <v>0.1</v>
      </c>
      <c r="C24" s="168">
        <f>Staffing!B156/(SUM(Staffing!B$155:B$164)-Cash!$B$23)</f>
        <v>4.9883890943493596E-2</v>
      </c>
      <c r="D24" s="133">
        <f t="shared" si="11"/>
        <v>345210.9056506409</v>
      </c>
      <c r="E24" s="133">
        <f t="shared" si="11"/>
        <v>352521.79698851437</v>
      </c>
      <c r="F24" s="133">
        <f t="shared" si="11"/>
        <v>363745.26000582561</v>
      </c>
      <c r="G24" s="133">
        <f t="shared" si="11"/>
        <v>404438.31877956446</v>
      </c>
      <c r="H24" s="133">
        <f t="shared" si="11"/>
        <v>413003.66312080203</v>
      </c>
      <c r="I24" s="133">
        <f t="shared" si="11"/>
        <v>421746.12301494856</v>
      </c>
      <c r="J24" s="13"/>
      <c r="K24" s="13"/>
      <c r="L24" s="13"/>
      <c r="M24" s="13"/>
      <c r="N24" s="13"/>
      <c r="O24" s="13"/>
      <c r="P24" s="13"/>
    </row>
    <row r="25" spans="1:16" x14ac:dyDescent="0.25">
      <c r="A25" s="193" t="str">
        <f>Staffing!A157</f>
        <v>Public service</v>
      </c>
      <c r="B25" s="26">
        <v>0.05</v>
      </c>
      <c r="C25" s="168">
        <f>Staffing!B157/(SUM(Staffing!B$155:B$164)-Cash!$B$23)</f>
        <v>4.9883890943493596E-2</v>
      </c>
      <c r="D25" s="133">
        <f t="shared" si="11"/>
        <v>191744.23898397415</v>
      </c>
      <c r="E25" s="133">
        <f t="shared" si="11"/>
        <v>195805.00668548397</v>
      </c>
      <c r="F25" s="133">
        <f t="shared" si="11"/>
        <v>202038.97652766798</v>
      </c>
      <c r="G25" s="133">
        <f t="shared" si="11"/>
        <v>224641.56369621214</v>
      </c>
      <c r="H25" s="133">
        <f t="shared" si="11"/>
        <v>229399.10584063205</v>
      </c>
      <c r="I25" s="133">
        <f t="shared" si="11"/>
        <v>234255.02519836958</v>
      </c>
      <c r="J25" s="13"/>
      <c r="K25" s="13"/>
      <c r="L25" s="13"/>
      <c r="M25" s="13"/>
      <c r="N25" s="13"/>
      <c r="O25" s="13"/>
      <c r="P25" s="13"/>
    </row>
    <row r="26" spans="1:16" x14ac:dyDescent="0.25">
      <c r="A26" s="193" t="str">
        <f>Staffing!A158</f>
        <v>Academic support</v>
      </c>
      <c r="B26" s="26">
        <v>0.05</v>
      </c>
      <c r="C26" s="168">
        <f>Staffing!B158/(SUM(Staffing!B$155:B$164)-Cash!$B$23)</f>
        <v>0.12961210974456008</v>
      </c>
      <c r="D26" s="133">
        <f t="shared" si="11"/>
        <v>252922.35887732587</v>
      </c>
      <c r="E26" s="133">
        <f t="shared" si="11"/>
        <v>258278.75942088827</v>
      </c>
      <c r="F26" s="133">
        <f t="shared" si="11"/>
        <v>266501.74628093711</v>
      </c>
      <c r="G26" s="133">
        <f t="shared" si="11"/>
        <v>296315.93884124851</v>
      </c>
      <c r="H26" s="133">
        <f t="shared" si="11"/>
        <v>302591.42741916375</v>
      </c>
      <c r="I26" s="133">
        <f t="shared" si="11"/>
        <v>308996.6815482314</v>
      </c>
      <c r="J26" s="13"/>
      <c r="K26" s="13"/>
      <c r="L26" s="13"/>
      <c r="M26" s="13"/>
      <c r="N26" s="13"/>
      <c r="O26" s="13"/>
      <c r="P26" s="13"/>
    </row>
    <row r="27" spans="1:16" x14ac:dyDescent="0.25">
      <c r="A27" s="193" t="str">
        <f>Staffing!A159</f>
        <v>Student services</v>
      </c>
      <c r="B27" s="26">
        <v>0.1</v>
      </c>
      <c r="C27" s="168">
        <f>Staffing!B159/(SUM(Staffing!B$155:B$164)-Cash!$B$23)</f>
        <v>9.1912502508529004E-2</v>
      </c>
      <c r="D27" s="133">
        <f t="shared" si="11"/>
        <v>377460.86025821144</v>
      </c>
      <c r="E27" s="133">
        <f t="shared" si="11"/>
        <v>385454.74251534021</v>
      </c>
      <c r="F27" s="133">
        <f t="shared" si="11"/>
        <v>397726.71288547054</v>
      </c>
      <c r="G27" s="133">
        <f t="shared" si="11"/>
        <v>442221.35867982451</v>
      </c>
      <c r="H27" s="133">
        <f t="shared" si="11"/>
        <v>451586.88621829485</v>
      </c>
      <c r="I27" s="133">
        <f t="shared" si="11"/>
        <v>461146.07562512386</v>
      </c>
      <c r="J27" s="13"/>
      <c r="K27" s="13"/>
      <c r="L27" s="13"/>
      <c r="M27" s="13"/>
      <c r="N27" s="13"/>
      <c r="O27" s="13"/>
      <c r="P27" s="13"/>
    </row>
    <row r="28" spans="1:16" x14ac:dyDescent="0.25">
      <c r="A28" s="193" t="str">
        <f>Staffing!A160</f>
        <v>Institutional support</v>
      </c>
      <c r="B28" s="26">
        <v>0.15</v>
      </c>
      <c r="C28" s="168">
        <f>(Staffing!B160-Cash!$B$23)/(SUM(Staffing!B$155:B$164)-Cash!$B$23)</f>
        <v>5.8455892892978985E-2</v>
      </c>
      <c r="D28" s="133">
        <f>$B$21*$B28*D$34+$C$21*$C28*D$34-Cash!B23</f>
        <v>505255.15514654596</v>
      </c>
      <c r="E28" s="133">
        <f>$B$21*$B28*E$34+$C$21*$C28*E$34-Cash!C23</f>
        <v>515955.47045151796</v>
      </c>
      <c r="F28" s="133">
        <f>$B$21*$B28*F$34+$C$21*$C28*F$34-Cash!D23</f>
        <v>532382.27637007716</v>
      </c>
      <c r="G28" s="133">
        <f>$B$21*$B28*G$34+$C$21*$C28*G$34-Cash!E23</f>
        <v>591941.16453834483</v>
      </c>
      <c r="H28" s="133">
        <f>$B$21*$B28*H$34+$C$21*$C28*H$34-Cash!F23</f>
        <v>604477.51351567206</v>
      </c>
      <c r="I28" s="133">
        <f>$B$21*$B28*I$34+$C$21*$C28*I$34</f>
        <v>617273.0911115018</v>
      </c>
      <c r="J28" s="13"/>
      <c r="K28" s="13"/>
      <c r="L28" s="13"/>
      <c r="M28" s="13"/>
      <c r="N28" s="13"/>
      <c r="O28" s="13"/>
      <c r="P28" s="13"/>
    </row>
    <row r="29" spans="1:16" x14ac:dyDescent="0.25">
      <c r="A29" s="193" t="str">
        <f>Staffing!A161</f>
        <v>Auxiliary enterprises</v>
      </c>
      <c r="B29" s="26">
        <v>0.15</v>
      </c>
      <c r="C29" s="168">
        <f>Staffing!B161/(SUM(Staffing!B$155:B$164)-Cash!$B$23)</f>
        <v>4.2028611565035408E-2</v>
      </c>
      <c r="D29" s="133">
        <f t="shared" si="11"/>
        <v>492649.9546075706</v>
      </c>
      <c r="E29" s="133">
        <f t="shared" si="11"/>
        <v>503083.31643591687</v>
      </c>
      <c r="F29" s="133">
        <f t="shared" si="11"/>
        <v>519100.30331411771</v>
      </c>
      <c r="G29" s="133">
        <f t="shared" si="11"/>
        <v>577173.3051503168</v>
      </c>
      <c r="H29" s="133">
        <f t="shared" si="11"/>
        <v>589396.89493800269</v>
      </c>
      <c r="I29" s="133">
        <f t="shared" si="11"/>
        <v>601873.24605991214</v>
      </c>
      <c r="J29" s="13"/>
      <c r="K29" s="13"/>
      <c r="L29" s="13"/>
      <c r="M29" s="13"/>
      <c r="N29" s="13"/>
      <c r="O29" s="13"/>
      <c r="P29" s="13"/>
    </row>
    <row r="30" spans="1:16" x14ac:dyDescent="0.25">
      <c r="A30" s="193" t="str">
        <f>Staffing!A162</f>
        <v>Hospital services</v>
      </c>
      <c r="B30" s="26">
        <v>0</v>
      </c>
      <c r="C30" s="168">
        <f>Staffing!B162/(SUM(Staffing!B$155:B$164)-Cash!$B$23)</f>
        <v>0</v>
      </c>
      <c r="D30" s="133">
        <f t="shared" si="11"/>
        <v>0</v>
      </c>
      <c r="E30" s="133">
        <f t="shared" si="11"/>
        <v>0</v>
      </c>
      <c r="F30" s="133">
        <f t="shared" si="11"/>
        <v>0</v>
      </c>
      <c r="G30" s="133">
        <f t="shared" si="11"/>
        <v>0</v>
      </c>
      <c r="H30" s="133">
        <f t="shared" si="11"/>
        <v>0</v>
      </c>
      <c r="I30" s="133">
        <f t="shared" si="11"/>
        <v>0</v>
      </c>
      <c r="J30" s="13"/>
      <c r="K30" s="13"/>
      <c r="L30" s="13"/>
      <c r="M30" s="13"/>
      <c r="N30" s="13"/>
      <c r="O30" s="13"/>
      <c r="P30" s="13"/>
    </row>
    <row r="31" spans="1:16" x14ac:dyDescent="0.25">
      <c r="A31" s="193" t="str">
        <f>Staffing!A163</f>
        <v>Independent operatons</v>
      </c>
      <c r="B31" s="26">
        <v>0</v>
      </c>
      <c r="C31" s="168">
        <f>Staffing!B163/(SUM(Staffing!B$155:B$164)-Cash!$B$23)</f>
        <v>0</v>
      </c>
      <c r="D31" s="133">
        <f t="shared" si="11"/>
        <v>0</v>
      </c>
      <c r="E31" s="133">
        <f t="shared" si="11"/>
        <v>0</v>
      </c>
      <c r="F31" s="133">
        <f t="shared" si="11"/>
        <v>0</v>
      </c>
      <c r="G31" s="133">
        <f t="shared" si="11"/>
        <v>0</v>
      </c>
      <c r="H31" s="133">
        <f t="shared" si="11"/>
        <v>0</v>
      </c>
      <c r="I31" s="133">
        <f t="shared" si="11"/>
        <v>0</v>
      </c>
      <c r="J31" s="13"/>
      <c r="K31" s="13"/>
      <c r="L31" s="13"/>
      <c r="M31" s="13"/>
      <c r="N31" s="13"/>
      <c r="O31" s="13"/>
      <c r="P31" s="13"/>
    </row>
    <row r="32" spans="1:16" x14ac:dyDescent="0.25">
      <c r="A32" s="193" t="str">
        <f>Staffing!A164</f>
        <v>Other functional expenses and deductions</v>
      </c>
      <c r="B32" s="195">
        <f>-SUM(B23:B31)+B33</f>
        <v>0</v>
      </c>
      <c r="C32" s="197">
        <f>Staffing!B164/(SUM(Staffing!B$155:B$164)-Cash!$B$23)</f>
        <v>0</v>
      </c>
      <c r="D32" s="134">
        <f t="shared" si="11"/>
        <v>0</v>
      </c>
      <c r="E32" s="134">
        <f t="shared" si="11"/>
        <v>0</v>
      </c>
      <c r="F32" s="134">
        <f t="shared" si="11"/>
        <v>0</v>
      </c>
      <c r="G32" s="134">
        <f t="shared" si="11"/>
        <v>0</v>
      </c>
      <c r="H32" s="134">
        <f t="shared" si="11"/>
        <v>0</v>
      </c>
      <c r="I32" s="134">
        <f t="shared" si="11"/>
        <v>0</v>
      </c>
      <c r="J32" s="13"/>
      <c r="K32" s="13"/>
      <c r="L32" s="13"/>
      <c r="M32" s="13"/>
      <c r="N32" s="13"/>
      <c r="O32" s="13"/>
      <c r="P32" s="13"/>
    </row>
    <row r="33" spans="1:16" x14ac:dyDescent="0.25">
      <c r="A33" s="116" t="s">
        <v>227</v>
      </c>
      <c r="B33" s="15">
        <v>1</v>
      </c>
      <c r="C33" s="15">
        <f>SUM(C23:C32)</f>
        <v>1</v>
      </c>
      <c r="D33" s="4">
        <f>SUM(D23:D32)</f>
        <v>3836666.6666666679</v>
      </c>
      <c r="E33" s="4">
        <f t="shared" ref="E33:I33" si="12">SUM(E23:E32)</f>
        <v>3917919.7575757592</v>
      </c>
      <c r="F33" s="4">
        <f t="shared" si="12"/>
        <v>4042657.0869539399</v>
      </c>
      <c r="G33" s="4">
        <f t="shared" si="12"/>
        <v>4494918.8770838063</v>
      </c>
      <c r="H33" s="4">
        <f t="shared" si="12"/>
        <v>4590113.9320042497</v>
      </c>
      <c r="I33" s="4">
        <f t="shared" si="12"/>
        <v>4687277.4454144742</v>
      </c>
      <c r="J33" s="13"/>
      <c r="K33" s="13"/>
      <c r="L33" s="13"/>
      <c r="M33" s="13"/>
      <c r="N33" s="13"/>
      <c r="O33" s="13"/>
      <c r="P33" s="13"/>
    </row>
    <row r="34" spans="1:16" x14ac:dyDescent="0.25">
      <c r="A34" s="13"/>
      <c r="B34" s="196"/>
      <c r="C34" s="178" t="s">
        <v>333</v>
      </c>
      <c r="D34" s="4">
        <f>Staffing!B165</f>
        <v>3836666.6666666679</v>
      </c>
      <c r="E34" s="4">
        <f>Staffing!C165</f>
        <v>3917919.7575757587</v>
      </c>
      <c r="F34" s="4">
        <f>Staffing!D165</f>
        <v>4042657.0869539399</v>
      </c>
      <c r="G34" s="4">
        <f>Staffing!E165</f>
        <v>4494918.8770838063</v>
      </c>
      <c r="H34" s="4">
        <f>Staffing!F165</f>
        <v>4590113.9320042487</v>
      </c>
      <c r="I34" s="4">
        <f>Staffing!G165</f>
        <v>4687277.4454144742</v>
      </c>
      <c r="J34" s="13"/>
      <c r="K34" s="13"/>
      <c r="L34" s="13"/>
      <c r="M34" s="13"/>
      <c r="N34" s="13"/>
      <c r="O34" s="13"/>
      <c r="P34" s="13"/>
    </row>
    <row r="35" spans="1:16" x14ac:dyDescent="0.25">
      <c r="A35" s="13"/>
      <c r="B35" s="8"/>
      <c r="C35" s="10" t="s">
        <v>332</v>
      </c>
      <c r="D35" s="96">
        <f>D33-D34</f>
        <v>0</v>
      </c>
      <c r="E35" s="96">
        <f t="shared" ref="E35:I35" si="13">E33-E34</f>
        <v>0</v>
      </c>
      <c r="F35" s="96">
        <f t="shared" si="13"/>
        <v>0</v>
      </c>
      <c r="G35" s="96">
        <f t="shared" si="13"/>
        <v>0</v>
      </c>
      <c r="H35" s="96">
        <f t="shared" si="13"/>
        <v>0</v>
      </c>
      <c r="I35" s="96">
        <f t="shared" si="13"/>
        <v>0</v>
      </c>
      <c r="J35" s="13"/>
      <c r="K35" s="13"/>
      <c r="L35" s="13"/>
      <c r="M35" s="13"/>
      <c r="N35" s="13"/>
      <c r="O35" s="13"/>
      <c r="P35" s="13"/>
    </row>
    <row r="36" spans="1:16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16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6FBB-845A-4777-B800-9C21CB08F56F}">
  <dimension ref="A1:T75"/>
  <sheetViews>
    <sheetView workbookViewId="0"/>
  </sheetViews>
  <sheetFormatPr defaultRowHeight="15" x14ac:dyDescent="0.25"/>
  <cols>
    <col min="1" max="1" width="39" customWidth="1"/>
    <col min="2" max="2" width="12.28515625" style="90" customWidth="1"/>
    <col min="3" max="5" width="11.5703125" customWidth="1"/>
    <col min="6" max="7" width="12.7109375" customWidth="1"/>
  </cols>
  <sheetData>
    <row r="1" spans="1:20" ht="15.75" x14ac:dyDescent="0.25">
      <c r="A1" s="86" t="str">
        <f>Summary!A1</f>
        <v>Frozen Pond College</v>
      </c>
      <c r="B1" s="5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x14ac:dyDescent="0.25">
      <c r="A2" s="10" t="s">
        <v>136</v>
      </c>
      <c r="B2" s="154">
        <f>Summary!F3-1</f>
        <v>2021</v>
      </c>
      <c r="C2" s="154">
        <f>Summary!G3-1</f>
        <v>2022</v>
      </c>
      <c r="D2" s="154">
        <f>Summary!H3-1</f>
        <v>2023</v>
      </c>
      <c r="E2" s="154">
        <f>Summary!I3-1</f>
        <v>2024</v>
      </c>
      <c r="F2" s="154">
        <f>Summary!J3-1</f>
        <v>2025</v>
      </c>
      <c r="G2" s="154">
        <f>Summary!K3-1</f>
        <v>2026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x14ac:dyDescent="0.25">
      <c r="A3" s="10" t="s">
        <v>135</v>
      </c>
      <c r="B3" s="4">
        <f>BalSheet!B3</f>
        <v>2000000</v>
      </c>
      <c r="C3" s="4">
        <f>B14</f>
        <v>5355962.152989055</v>
      </c>
      <c r="D3" s="4">
        <f t="shared" ref="D3:G3" si="0">C14</f>
        <v>4772794.0239259675</v>
      </c>
      <c r="E3" s="4">
        <f t="shared" si="0"/>
        <v>1071300.5901423534</v>
      </c>
      <c r="F3" s="4">
        <f t="shared" si="0"/>
        <v>-5782956.7319545941</v>
      </c>
      <c r="G3" s="4">
        <f t="shared" si="0"/>
        <v>-13692693.403825797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x14ac:dyDescent="0.25">
      <c r="A4" s="10" t="s">
        <v>304</v>
      </c>
      <c r="B4" s="4">
        <f>Summary!F42</f>
        <v>1376151.7199815214</v>
      </c>
      <c r="C4" s="4">
        <f>Summary!G42</f>
        <v>435584.73048020154</v>
      </c>
      <c r="D4" s="4">
        <f>Summary!H42</f>
        <v>-2788097.8768419176</v>
      </c>
      <c r="E4" s="4">
        <f>Summary!I42</f>
        <v>-5912898.6191658527</v>
      </c>
      <c r="F4" s="4">
        <f>Summary!J42</f>
        <v>-7031201.6814373136</v>
      </c>
      <c r="G4" s="4">
        <f>Summary!K42</f>
        <v>-9824291.262596786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0" x14ac:dyDescent="0.25">
      <c r="A5" s="10" t="s">
        <v>301</v>
      </c>
      <c r="B5" s="4">
        <f>-BalSheet!C4+BalSheet!B4</f>
        <v>-165027.18121154001</v>
      </c>
      <c r="C5" s="4">
        <f>-BalSheet!D4+BalSheet!C4</f>
        <v>8821.8134448714554</v>
      </c>
      <c r="D5" s="4">
        <f>-BalSheet!E4+BalSheet!D4</f>
        <v>90743.434933481738</v>
      </c>
      <c r="E5" s="4">
        <f>-BalSheet!F4+BalSheet!E4</f>
        <v>114040.67478464497</v>
      </c>
      <c r="F5" s="4">
        <f>-BalSheet!G4+BalSheet!F4</f>
        <v>-57131.934747039806</v>
      </c>
      <c r="G5" s="4">
        <f>-BalSheet!H4+BalSheet!G4</f>
        <v>109668.74012293853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x14ac:dyDescent="0.25">
      <c r="A6" s="10" t="s">
        <v>302</v>
      </c>
      <c r="B6" s="4">
        <f>-BalSheet!C5+BalSheet!B5</f>
        <v>-28000</v>
      </c>
      <c r="C6" s="4">
        <f>-BalSheet!D5+BalSheet!C5</f>
        <v>-29120</v>
      </c>
      <c r="D6" s="4">
        <f>-BalSheet!E5+BalSheet!D5</f>
        <v>-30284.800000000047</v>
      </c>
      <c r="E6" s="4">
        <f>-BalSheet!F5+BalSheet!E5</f>
        <v>-31496.192000000039</v>
      </c>
      <c r="F6" s="4">
        <f>-BalSheet!G5+BalSheet!F5</f>
        <v>-32756.039680000045</v>
      </c>
      <c r="G6" s="4">
        <f>-BalSheet!H5+BalSheet!G5</f>
        <v>-34066.281267200015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x14ac:dyDescent="0.25">
      <c r="A7" s="10" t="s">
        <v>284</v>
      </c>
      <c r="B7" s="4">
        <f>-BalSheet!C8+BalSheet!B8</f>
        <v>-1450000</v>
      </c>
      <c r="C7" s="4">
        <f>-BalSheet!D8+BalSheet!C8</f>
        <v>-1311458.3333333321</v>
      </c>
      <c r="D7" s="4">
        <f>-BalSheet!E8+BalSheet!D8</f>
        <v>-1391666.6666666679</v>
      </c>
      <c r="E7" s="4">
        <f>-BalSheet!F8+BalSheet!E8</f>
        <v>-1455954.8611111082</v>
      </c>
      <c r="F7" s="4">
        <f>-BalSheet!G8+BalSheet!F8</f>
        <v>-1525902.7777777761</v>
      </c>
      <c r="G7" s="4">
        <f>-BalSheet!H8+BalSheet!G8</f>
        <v>-1602180.2662036978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1:20" x14ac:dyDescent="0.25">
      <c r="A8" s="10" t="s">
        <v>319</v>
      </c>
      <c r="B8" s="4">
        <f>-BalSheet!C10+BalSheet!B10</f>
        <v>0</v>
      </c>
      <c r="C8" s="4">
        <f>-BalSheet!D10+BalSheet!C10</f>
        <v>0</v>
      </c>
      <c r="D8" s="4">
        <f>-BalSheet!E10+BalSheet!D10</f>
        <v>0</v>
      </c>
      <c r="E8" s="4">
        <f>-BalSheet!F10+BalSheet!E10</f>
        <v>0</v>
      </c>
      <c r="F8" s="4">
        <f>-BalSheet!G10+BalSheet!F10</f>
        <v>0</v>
      </c>
      <c r="G8" s="4">
        <f>-BalSheet!H10+BalSheet!G10</f>
        <v>0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x14ac:dyDescent="0.25">
      <c r="A9" s="10" t="s">
        <v>318</v>
      </c>
      <c r="B9" s="4">
        <f>BalSheet!C15-BalSheet!B15</f>
        <v>3330170.9475524072</v>
      </c>
      <c r="C9" s="4">
        <f>BalSheet!D15-BalSheet!C15</f>
        <v>-663.00632149539888</v>
      </c>
      <c r="D9" s="4">
        <f>BalSheet!E15-BalSheet!D15</f>
        <v>183145.8081248235</v>
      </c>
      <c r="E9" s="4">
        <f>BalSheet!F15-BalSheet!E15</f>
        <v>209718.34206203464</v>
      </c>
      <c r="F9" s="4">
        <f>BalSheet!G15-BalSheet!F15</f>
        <v>493922.42843759246</v>
      </c>
      <c r="G9" s="4">
        <f>BalSheet!H15-BalSheet!G15</f>
        <v>77962.921231091954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x14ac:dyDescent="0.25">
      <c r="A10" s="10" t="s">
        <v>137</v>
      </c>
      <c r="B10" s="4">
        <f>Plant!C11-Plant!B11</f>
        <v>797666.66666666698</v>
      </c>
      <c r="C10" s="4">
        <f>Plant!D11-Plant!C11</f>
        <v>818666.66666666698</v>
      </c>
      <c r="D10" s="4">
        <f>Plant!E11-Plant!D11</f>
        <v>839666.66666666605</v>
      </c>
      <c r="E10" s="4">
        <f>Plant!F11-Plant!E11</f>
        <v>1027333.333333334</v>
      </c>
      <c r="F10" s="4">
        <f>Plant!G11-Plant!F11</f>
        <v>1048333.333333334</v>
      </c>
      <c r="G10" s="4">
        <f>Plant!H11-Plant!G11</f>
        <v>1069333.333333334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x14ac:dyDescent="0.25">
      <c r="A11" s="10" t="s">
        <v>155</v>
      </c>
      <c r="B11" s="4">
        <f>Plant!C16</f>
        <v>0</v>
      </c>
      <c r="C11" s="4">
        <f>Plant!D16</f>
        <v>0</v>
      </c>
      <c r="D11" s="4">
        <f>Plant!E16</f>
        <v>5000000</v>
      </c>
      <c r="E11" s="4">
        <f>Plant!F16</f>
        <v>0</v>
      </c>
      <c r="F11" s="4">
        <f>Plant!G16</f>
        <v>0</v>
      </c>
      <c r="G11" s="4">
        <f>Plant!H16</f>
        <v>0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x14ac:dyDescent="0.25">
      <c r="A12" s="10" t="s">
        <v>159</v>
      </c>
      <c r="B12" s="4">
        <f>-Plant!D17</f>
        <v>-300000</v>
      </c>
      <c r="C12" s="4">
        <f>-Plant!E17</f>
        <v>-300000</v>
      </c>
      <c r="D12" s="4">
        <f>-Plant!F17</f>
        <v>-400000</v>
      </c>
      <c r="E12" s="4">
        <f>-Plant!G17</f>
        <v>-600000</v>
      </c>
      <c r="F12" s="4">
        <f>-Plant!H17</f>
        <v>-600000</v>
      </c>
      <c r="G12" s="4">
        <f>-Plant!I17</f>
        <v>-700000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x14ac:dyDescent="0.25">
      <c r="A13" s="10" t="s">
        <v>160</v>
      </c>
      <c r="B13" s="4">
        <f>Plant!B10-Plant!C10</f>
        <v>-205000</v>
      </c>
      <c r="C13" s="4">
        <f>Plant!C10-Plant!D10</f>
        <v>-205000</v>
      </c>
      <c r="D13" s="4">
        <f>Plant!D10-Plant!E10</f>
        <v>-5205000</v>
      </c>
      <c r="E13" s="4">
        <f>Plant!E10-Plant!F10</f>
        <v>-205000</v>
      </c>
      <c r="F13" s="4">
        <f>Plant!F10-Plant!G10</f>
        <v>-205000</v>
      </c>
      <c r="G13" s="4">
        <f>Plant!G10-Plant!H10</f>
        <v>-205000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x14ac:dyDescent="0.25">
      <c r="A14" s="10" t="s">
        <v>154</v>
      </c>
      <c r="B14" s="4">
        <f t="shared" ref="B14:G14" si="1">SUM(B3:B13)</f>
        <v>5355962.152989055</v>
      </c>
      <c r="C14" s="4">
        <f t="shared" si="1"/>
        <v>4772794.0239259675</v>
      </c>
      <c r="D14" s="4">
        <f t="shared" si="1"/>
        <v>1071300.5901423534</v>
      </c>
      <c r="E14" s="4">
        <f t="shared" si="1"/>
        <v>-5782956.7319545941</v>
      </c>
      <c r="F14" s="4">
        <f t="shared" si="1"/>
        <v>-13692693.403825797</v>
      </c>
      <c r="G14" s="4">
        <f t="shared" si="1"/>
        <v>-24801266.219206117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1:20" x14ac:dyDescent="0.25">
      <c r="A15" s="13"/>
      <c r="B15" s="52"/>
      <c r="C15" s="52"/>
      <c r="D15" s="52"/>
      <c r="E15" s="52"/>
      <c r="F15" s="52"/>
      <c r="G15" s="52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pans="1:20" x14ac:dyDescent="0.25">
      <c r="A16" s="10" t="s">
        <v>140</v>
      </c>
      <c r="B16" s="26">
        <v>0.03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1:20" x14ac:dyDescent="0.25">
      <c r="A17" s="10" t="s">
        <v>141</v>
      </c>
      <c r="B17" s="26">
        <v>0.12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1:20" x14ac:dyDescent="0.25">
      <c r="A18" s="10" t="s">
        <v>142</v>
      </c>
      <c r="B18" s="4">
        <f t="shared" ref="B18:G18" si="2">(B3+B14)/2</f>
        <v>3677981.0764945275</v>
      </c>
      <c r="C18" s="4">
        <f t="shared" si="2"/>
        <v>5064378.0884575117</v>
      </c>
      <c r="D18" s="4">
        <f t="shared" si="2"/>
        <v>2922047.3070341605</v>
      </c>
      <c r="E18" s="4">
        <f t="shared" si="2"/>
        <v>-2355828.0709061204</v>
      </c>
      <c r="F18" s="4">
        <f t="shared" si="2"/>
        <v>-9737825.0678901952</v>
      </c>
      <c r="G18" s="4">
        <f t="shared" si="2"/>
        <v>-19246979.811515957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spans="1:20" x14ac:dyDescent="0.25">
      <c r="A19" s="10" t="s">
        <v>134</v>
      </c>
      <c r="B19" s="161">
        <f t="shared" ref="B19:G19" si="3">B2+1</f>
        <v>2022</v>
      </c>
      <c r="C19" s="161">
        <f t="shared" si="3"/>
        <v>2023</v>
      </c>
      <c r="D19" s="161">
        <f t="shared" si="3"/>
        <v>2024</v>
      </c>
      <c r="E19" s="161">
        <f t="shared" si="3"/>
        <v>2025</v>
      </c>
      <c r="F19" s="161">
        <f t="shared" si="3"/>
        <v>2026</v>
      </c>
      <c r="G19" s="161">
        <f t="shared" si="3"/>
        <v>2027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pans="1:20" x14ac:dyDescent="0.25">
      <c r="A20" s="10" t="s">
        <v>334</v>
      </c>
      <c r="B20" s="4">
        <f>IF(B18&lt;0,0,$B$16*B18)</f>
        <v>110339.43229483582</v>
      </c>
      <c r="C20" s="4">
        <f>IF(C18&lt;0,0,$B$16*C18)</f>
        <v>151931.34265372535</v>
      </c>
      <c r="D20" s="4">
        <f t="shared" ref="D20:G20" si="4">IF(D18&lt;0,0,$B$16*D18)</f>
        <v>87661.419211024811</v>
      </c>
      <c r="E20" s="4">
        <f t="shared" si="4"/>
        <v>0</v>
      </c>
      <c r="F20" s="4">
        <f t="shared" si="4"/>
        <v>0</v>
      </c>
      <c r="G20" s="4">
        <f t="shared" si="4"/>
        <v>0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1:20" x14ac:dyDescent="0.25">
      <c r="A21" s="10" t="s">
        <v>305</v>
      </c>
      <c r="B21" s="2">
        <v>80000</v>
      </c>
      <c r="C21" s="2">
        <v>120000</v>
      </c>
      <c r="D21" s="2">
        <v>120000</v>
      </c>
      <c r="E21" s="2">
        <v>90000</v>
      </c>
      <c r="F21" s="2">
        <v>30000</v>
      </c>
      <c r="G21" s="2">
        <v>0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spans="1:20" x14ac:dyDescent="0.25">
      <c r="A22" s="10" t="s">
        <v>143</v>
      </c>
      <c r="B22" s="4">
        <f>-IF(B18&gt;0,0,$B$17*B18)</f>
        <v>0</v>
      </c>
      <c r="C22" s="4">
        <f>-IF(C18&gt;0,0,$B$17*C18)</f>
        <v>0</v>
      </c>
      <c r="D22" s="4">
        <f t="shared" ref="D22:G22" si="5">-IF(D18&gt;0,0,$B$17*D18)</f>
        <v>0</v>
      </c>
      <c r="E22" s="4">
        <f t="shared" si="5"/>
        <v>282699.36850873445</v>
      </c>
      <c r="F22" s="4">
        <f t="shared" si="5"/>
        <v>1168539.0081468234</v>
      </c>
      <c r="G22" s="4">
        <f t="shared" si="5"/>
        <v>2309637.5773819149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0" x14ac:dyDescent="0.25">
      <c r="A23" s="10" t="s">
        <v>306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180000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spans="1:20" s="90" customFormat="1" x14ac:dyDescent="0.25">
      <c r="A24" s="153" t="s">
        <v>291</v>
      </c>
      <c r="B24" s="4">
        <f>Endow!B10</f>
        <v>2450000</v>
      </c>
      <c r="C24" s="4">
        <f>Endow!C10</f>
        <v>2500000</v>
      </c>
      <c r="D24" s="4">
        <f>Endow!D10</f>
        <v>2645000</v>
      </c>
      <c r="E24" s="4">
        <f>Endow!E10</f>
        <v>2776145.8333333335</v>
      </c>
      <c r="F24" s="4">
        <f>Endow!F10</f>
        <v>2915312.5</v>
      </c>
      <c r="G24" s="4">
        <f>Endow!G10</f>
        <v>3060907.986111111</v>
      </c>
      <c r="H24" s="52"/>
      <c r="I24" s="5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0" x14ac:dyDescent="0.25">
      <c r="A25" s="10" t="s">
        <v>292</v>
      </c>
      <c r="B25" s="6">
        <f>B21+B24</f>
        <v>2530000</v>
      </c>
      <c r="C25" s="6">
        <f>C21+C24</f>
        <v>2620000</v>
      </c>
      <c r="D25" s="6">
        <f t="shared" ref="D25:G25" si="6">D21+D24</f>
        <v>2765000</v>
      </c>
      <c r="E25" s="6">
        <f t="shared" si="6"/>
        <v>2866145.8333333335</v>
      </c>
      <c r="F25" s="6">
        <f t="shared" si="6"/>
        <v>2945312.5</v>
      </c>
      <c r="G25" s="6">
        <f t="shared" si="6"/>
        <v>3060907.986111111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x14ac:dyDescent="0.25">
      <c r="A26" s="13"/>
      <c r="B26" s="5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spans="1:20" x14ac:dyDescent="0.25">
      <c r="A27" s="13"/>
      <c r="B27" s="5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spans="1:20" x14ac:dyDescent="0.25">
      <c r="A28" s="13"/>
      <c r="B28" s="52"/>
      <c r="C28" s="52"/>
      <c r="D28" s="52"/>
      <c r="E28" s="52"/>
      <c r="F28" s="52"/>
      <c r="G28" s="52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spans="1:20" x14ac:dyDescent="0.25">
      <c r="A29" s="13"/>
      <c r="B29" s="5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spans="1:20" x14ac:dyDescent="0.25">
      <c r="A30" s="13"/>
      <c r="B30" s="5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</row>
    <row r="31" spans="1:20" x14ac:dyDescent="0.25">
      <c r="A31" s="13"/>
      <c r="B31" s="5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2" spans="1:20" x14ac:dyDescent="0.25">
      <c r="A32" s="13"/>
      <c r="B32" s="5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spans="1:20" x14ac:dyDescent="0.25">
      <c r="A33" s="13"/>
      <c r="B33" s="5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spans="1:20" x14ac:dyDescent="0.25">
      <c r="A34" s="13"/>
      <c r="B34" s="5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spans="1:20" x14ac:dyDescent="0.25">
      <c r="A35" s="13"/>
      <c r="B35" s="5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6" spans="1:20" x14ac:dyDescent="0.25">
      <c r="A36" s="13"/>
      <c r="B36" s="5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</row>
    <row r="37" spans="1:20" x14ac:dyDescent="0.25">
      <c r="A37" s="13"/>
      <c r="B37" s="5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</row>
    <row r="38" spans="1:20" x14ac:dyDescent="0.25">
      <c r="A38" s="13"/>
      <c r="B38" s="5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</row>
    <row r="39" spans="1:20" x14ac:dyDescent="0.25">
      <c r="A39" s="13"/>
      <c r="B39" s="5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</row>
    <row r="40" spans="1:20" x14ac:dyDescent="0.25">
      <c r="A40" s="13"/>
      <c r="B40" s="5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</row>
    <row r="41" spans="1:20" x14ac:dyDescent="0.25">
      <c r="A41" s="13"/>
      <c r="B41" s="5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</row>
    <row r="42" spans="1:20" x14ac:dyDescent="0.25">
      <c r="A42" s="13"/>
      <c r="B42" s="52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</row>
    <row r="43" spans="1:20" x14ac:dyDescent="0.25">
      <c r="A43" s="13"/>
      <c r="B43" s="5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</row>
    <row r="44" spans="1:20" x14ac:dyDescent="0.25">
      <c r="A44" s="13"/>
      <c r="B44" s="52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</row>
    <row r="45" spans="1:20" x14ac:dyDescent="0.25">
      <c r="A45" s="13"/>
      <c r="B45" s="52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</row>
    <row r="46" spans="1:20" x14ac:dyDescent="0.25">
      <c r="A46" s="13"/>
      <c r="B46" s="5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</row>
    <row r="47" spans="1:20" x14ac:dyDescent="0.25">
      <c r="A47" s="13"/>
      <c r="B47" s="5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</row>
    <row r="48" spans="1:20" x14ac:dyDescent="0.25">
      <c r="A48" s="13"/>
      <c r="B48" s="52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</row>
    <row r="49" spans="1:20" x14ac:dyDescent="0.25">
      <c r="A49" s="13"/>
      <c r="B49" s="5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</row>
    <row r="50" spans="1:20" x14ac:dyDescent="0.25">
      <c r="A50" s="13"/>
      <c r="B50" s="52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</row>
    <row r="51" spans="1:20" x14ac:dyDescent="0.25">
      <c r="A51" s="13"/>
      <c r="B51" s="5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</row>
    <row r="52" spans="1:20" x14ac:dyDescent="0.25">
      <c r="A52" s="13"/>
      <c r="B52" s="5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</row>
    <row r="53" spans="1:20" x14ac:dyDescent="0.25">
      <c r="A53" s="13"/>
      <c r="B53" s="52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</row>
    <row r="54" spans="1:20" x14ac:dyDescent="0.25">
      <c r="A54" s="13"/>
      <c r="B54" s="5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</row>
    <row r="55" spans="1:20" x14ac:dyDescent="0.25">
      <c r="A55" s="13"/>
      <c r="B55" s="52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</row>
    <row r="56" spans="1:20" x14ac:dyDescent="0.25">
      <c r="A56" s="13"/>
      <c r="B56" s="52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spans="1:20" x14ac:dyDescent="0.25">
      <c r="A57" s="13"/>
      <c r="B57" s="52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spans="1:20" x14ac:dyDescent="0.25">
      <c r="A58" s="13"/>
      <c r="B58" s="5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  <row r="59" spans="1:20" x14ac:dyDescent="0.25">
      <c r="A59" s="13"/>
      <c r="B59" s="52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1:20" x14ac:dyDescent="0.25">
      <c r="A60" s="13"/>
      <c r="B60" s="52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1:20" x14ac:dyDescent="0.25">
      <c r="A61" s="13"/>
      <c r="B61" s="52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1:20" x14ac:dyDescent="0.25">
      <c r="A62" s="13"/>
      <c r="B62" s="52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1:20" x14ac:dyDescent="0.25">
      <c r="A63" s="13"/>
      <c r="B63" s="5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  <row r="64" spans="1:20" x14ac:dyDescent="0.25">
      <c r="A64" s="13"/>
      <c r="B64" s="5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</row>
    <row r="65" spans="1:20" x14ac:dyDescent="0.25">
      <c r="A65" s="13"/>
      <c r="B65" s="52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</row>
    <row r="66" spans="1:20" x14ac:dyDescent="0.25">
      <c r="A66" s="13"/>
      <c r="B66" s="52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</row>
    <row r="67" spans="1:20" x14ac:dyDescent="0.25">
      <c r="A67" s="13"/>
      <c r="B67" s="52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spans="1:20" x14ac:dyDescent="0.25">
      <c r="A68" s="13"/>
      <c r="B68" s="52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</row>
    <row r="69" spans="1:20" x14ac:dyDescent="0.25">
      <c r="A69" s="13"/>
      <c r="B69" s="52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</row>
    <row r="70" spans="1:20" x14ac:dyDescent="0.25">
      <c r="A70" s="13"/>
      <c r="B70" s="5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</row>
    <row r="71" spans="1:20" x14ac:dyDescent="0.25">
      <c r="A71" s="13"/>
      <c r="B71" s="52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</row>
    <row r="72" spans="1:20" x14ac:dyDescent="0.25">
      <c r="A72" s="13"/>
      <c r="B72" s="52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</row>
    <row r="73" spans="1:20" x14ac:dyDescent="0.25">
      <c r="A73" s="13"/>
      <c r="B73" s="52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</row>
    <row r="74" spans="1:20" x14ac:dyDescent="0.25">
      <c r="A74" s="13"/>
      <c r="B74" s="52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</row>
    <row r="75" spans="1:20" x14ac:dyDescent="0.25">
      <c r="A75" s="13"/>
      <c r="B75" s="52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85636-A213-484E-AF9D-BDE9FA890284}">
  <dimension ref="A1:V191"/>
  <sheetViews>
    <sheetView zoomScale="90" zoomScaleNormal="90" workbookViewId="0"/>
  </sheetViews>
  <sheetFormatPr defaultRowHeight="15" x14ac:dyDescent="0.25"/>
  <cols>
    <col min="1" max="1" width="39.28515625" customWidth="1"/>
    <col min="2" max="7" width="12.85546875" customWidth="1"/>
    <col min="8" max="8" width="12.140625" customWidth="1"/>
    <col min="9" max="9" width="9.85546875" customWidth="1"/>
    <col min="10" max="10" width="11" customWidth="1"/>
    <col min="14" max="14" width="11" customWidth="1"/>
    <col min="15" max="15" width="9.85546875" customWidth="1"/>
  </cols>
  <sheetData>
    <row r="1" spans="1:21" ht="15.75" x14ac:dyDescent="0.25">
      <c r="A1" s="86" t="str">
        <f>Summary!A1</f>
        <v>Frozen Pond College</v>
      </c>
      <c r="B1" s="39"/>
      <c r="C1" s="40"/>
      <c r="D1" s="40"/>
      <c r="E1" s="66" t="s">
        <v>62</v>
      </c>
      <c r="F1" s="40"/>
      <c r="G1" s="40"/>
      <c r="H1" s="146"/>
      <c r="I1" s="39"/>
      <c r="J1" s="40"/>
      <c r="K1" s="40"/>
      <c r="L1" s="66" t="s">
        <v>63</v>
      </c>
      <c r="M1" s="40"/>
      <c r="N1" s="55"/>
      <c r="O1" s="13"/>
      <c r="P1" s="13"/>
      <c r="Q1" s="13"/>
      <c r="R1" s="13"/>
      <c r="S1" s="13"/>
      <c r="T1" s="13"/>
      <c r="U1" s="13"/>
    </row>
    <row r="2" spans="1:21" ht="60" x14ac:dyDescent="0.25">
      <c r="A2" s="13"/>
      <c r="B2" s="35" t="s">
        <v>7</v>
      </c>
      <c r="C2" s="20" t="s">
        <v>9</v>
      </c>
      <c r="D2" s="20" t="s">
        <v>10</v>
      </c>
      <c r="E2" s="20" t="s">
        <v>8</v>
      </c>
      <c r="F2" s="20" t="s">
        <v>11</v>
      </c>
      <c r="G2" s="20" t="s">
        <v>12</v>
      </c>
      <c r="H2" s="147" t="s">
        <v>13</v>
      </c>
      <c r="I2" s="35" t="s">
        <v>7</v>
      </c>
      <c r="J2" s="20" t="s">
        <v>9</v>
      </c>
      <c r="K2" s="20" t="s">
        <v>10</v>
      </c>
      <c r="L2" s="20" t="s">
        <v>8</v>
      </c>
      <c r="M2" s="20" t="s">
        <v>11</v>
      </c>
      <c r="N2" s="36" t="s">
        <v>12</v>
      </c>
      <c r="O2" s="20" t="s">
        <v>21</v>
      </c>
      <c r="P2" s="13"/>
      <c r="Q2" s="13"/>
      <c r="R2" s="13"/>
      <c r="S2" s="13"/>
      <c r="T2" s="13"/>
      <c r="U2" s="13"/>
    </row>
    <row r="3" spans="1:21" x14ac:dyDescent="0.25">
      <c r="A3" s="10" t="s">
        <v>4</v>
      </c>
      <c r="B3" s="31">
        <v>120</v>
      </c>
      <c r="C3" s="2">
        <v>100000</v>
      </c>
      <c r="D3" s="166">
        <f>Summary!B26</f>
        <v>0.45</v>
      </c>
      <c r="E3" s="3">
        <v>20</v>
      </c>
      <c r="F3" s="2">
        <v>60000</v>
      </c>
      <c r="G3" s="166">
        <f>Summary!B26</f>
        <v>0.45</v>
      </c>
      <c r="H3" s="148">
        <v>600000</v>
      </c>
      <c r="I3" s="31">
        <v>20</v>
      </c>
      <c r="J3" s="2">
        <v>15000</v>
      </c>
      <c r="K3" s="166">
        <f>Summary!B27</f>
        <v>0.1</v>
      </c>
      <c r="L3" s="3">
        <v>5</v>
      </c>
      <c r="M3" s="2">
        <v>18000</v>
      </c>
      <c r="N3" s="174">
        <f>Summary!B27</f>
        <v>0.1</v>
      </c>
      <c r="O3" s="1">
        <f>Summary!B25</f>
        <v>0.02</v>
      </c>
      <c r="P3" s="13"/>
      <c r="Q3" s="13"/>
      <c r="R3" s="13"/>
      <c r="S3" s="13"/>
      <c r="T3" s="13"/>
      <c r="U3" s="13"/>
    </row>
    <row r="4" spans="1:21" x14ac:dyDescent="0.25">
      <c r="A4" s="115" t="s">
        <v>215</v>
      </c>
      <c r="B4" s="31">
        <v>0</v>
      </c>
      <c r="C4" s="21">
        <f t="shared" ref="C4:C5" si="0">$C$3</f>
        <v>100000</v>
      </c>
      <c r="D4" s="28">
        <f t="shared" ref="D4:D5" si="1">$D$3</f>
        <v>0.45</v>
      </c>
      <c r="E4" s="3">
        <v>20</v>
      </c>
      <c r="F4" s="2">
        <v>60000</v>
      </c>
      <c r="G4" s="28">
        <f t="shared" ref="G4:G5" si="2">$G$3</f>
        <v>0.45</v>
      </c>
      <c r="H4" s="148">
        <v>0</v>
      </c>
      <c r="I4" s="31">
        <v>0</v>
      </c>
      <c r="J4" s="21">
        <f t="shared" ref="J4:J5" si="3">$J$3</f>
        <v>15000</v>
      </c>
      <c r="K4" s="28">
        <f>$K$3</f>
        <v>0.1</v>
      </c>
      <c r="L4" s="3">
        <v>0</v>
      </c>
      <c r="M4" s="2">
        <v>18000</v>
      </c>
      <c r="N4" s="175">
        <f t="shared" ref="N4:N5" si="4">$N$3</f>
        <v>0.1</v>
      </c>
      <c r="O4" s="13"/>
      <c r="P4" s="13"/>
      <c r="Q4" s="13"/>
      <c r="R4" s="13"/>
      <c r="S4" s="13"/>
      <c r="T4" s="13"/>
      <c r="U4" s="13"/>
    </row>
    <row r="5" spans="1:21" x14ac:dyDescent="0.25">
      <c r="A5" s="115" t="s">
        <v>216</v>
      </c>
      <c r="B5" s="31">
        <v>0</v>
      </c>
      <c r="C5" s="21">
        <f t="shared" si="0"/>
        <v>100000</v>
      </c>
      <c r="D5" s="28">
        <f t="shared" si="1"/>
        <v>0.45</v>
      </c>
      <c r="E5" s="3">
        <v>20</v>
      </c>
      <c r="F5" s="2">
        <v>60000</v>
      </c>
      <c r="G5" s="28">
        <f t="shared" si="2"/>
        <v>0.45</v>
      </c>
      <c r="H5" s="148">
        <v>0</v>
      </c>
      <c r="I5" s="31">
        <v>0</v>
      </c>
      <c r="J5" s="21">
        <f t="shared" si="3"/>
        <v>15000</v>
      </c>
      <c r="K5" s="28">
        <f t="shared" ref="K5:K6" si="5">$K$3</f>
        <v>0.1</v>
      </c>
      <c r="L5" s="3">
        <v>0</v>
      </c>
      <c r="M5" s="2">
        <v>18000</v>
      </c>
      <c r="N5" s="175">
        <f t="shared" si="4"/>
        <v>0.1</v>
      </c>
      <c r="O5" s="13"/>
      <c r="P5" s="13"/>
      <c r="Q5" s="13"/>
      <c r="R5" s="13"/>
      <c r="S5" s="13"/>
      <c r="T5" s="13"/>
      <c r="U5" s="13"/>
    </row>
    <row r="6" spans="1:21" x14ac:dyDescent="0.25">
      <c r="A6" s="10" t="s">
        <v>218</v>
      </c>
      <c r="B6" s="31">
        <v>10</v>
      </c>
      <c r="C6" s="21">
        <f>$C$3</f>
        <v>100000</v>
      </c>
      <c r="D6" s="28">
        <f>$D$3</f>
        <v>0.45</v>
      </c>
      <c r="E6" s="3">
        <v>25</v>
      </c>
      <c r="F6" s="2">
        <v>60000</v>
      </c>
      <c r="G6" s="28">
        <f>$G$3</f>
        <v>0.45</v>
      </c>
      <c r="H6" s="148">
        <v>500000</v>
      </c>
      <c r="I6" s="31">
        <v>0</v>
      </c>
      <c r="J6" s="21">
        <f>$J$3</f>
        <v>15000</v>
      </c>
      <c r="K6" s="28">
        <f t="shared" si="5"/>
        <v>0.1</v>
      </c>
      <c r="L6" s="3">
        <v>20</v>
      </c>
      <c r="M6" s="2">
        <v>18000</v>
      </c>
      <c r="N6" s="175">
        <f>$N$3</f>
        <v>0.1</v>
      </c>
      <c r="O6" s="13"/>
      <c r="P6" s="13"/>
      <c r="Q6" s="13"/>
      <c r="R6" s="13"/>
      <c r="S6" s="13"/>
      <c r="T6" s="13"/>
      <c r="U6" s="13"/>
    </row>
    <row r="7" spans="1:21" x14ac:dyDescent="0.25">
      <c r="A7" s="10" t="s">
        <v>217</v>
      </c>
      <c r="B7" s="32"/>
      <c r="C7" s="13"/>
      <c r="D7" s="13"/>
      <c r="E7" s="3">
        <v>30</v>
      </c>
      <c r="F7" s="2">
        <v>60000</v>
      </c>
      <c r="G7" s="28">
        <f>G3</f>
        <v>0.45</v>
      </c>
      <c r="H7" s="148">
        <v>200000</v>
      </c>
      <c r="I7" s="32"/>
      <c r="J7" s="13"/>
      <c r="K7" s="13"/>
      <c r="L7" s="3">
        <v>20</v>
      </c>
      <c r="M7" s="2">
        <v>18000</v>
      </c>
      <c r="N7" s="175">
        <f t="shared" ref="N7:N13" si="6">$N$3</f>
        <v>0.1</v>
      </c>
      <c r="O7" s="13"/>
      <c r="P7" s="13"/>
      <c r="Q7" s="13"/>
      <c r="R7" s="13"/>
      <c r="S7" s="13"/>
      <c r="T7" s="13"/>
      <c r="U7" s="13"/>
    </row>
    <row r="8" spans="1:21" x14ac:dyDescent="0.25">
      <c r="A8" s="10" t="s">
        <v>219</v>
      </c>
      <c r="B8" s="32"/>
      <c r="C8" s="13"/>
      <c r="D8" s="13"/>
      <c r="E8" s="3">
        <v>20</v>
      </c>
      <c r="F8" s="2">
        <v>60000</v>
      </c>
      <c r="G8" s="28">
        <f>$G$3</f>
        <v>0.45</v>
      </c>
      <c r="H8" s="148">
        <v>200000</v>
      </c>
      <c r="I8" s="32"/>
      <c r="J8" s="13"/>
      <c r="K8" s="13"/>
      <c r="L8" s="3">
        <v>5</v>
      </c>
      <c r="M8" s="2">
        <v>18000</v>
      </c>
      <c r="N8" s="175">
        <f t="shared" si="6"/>
        <v>0.1</v>
      </c>
      <c r="O8" s="13"/>
      <c r="P8" s="13"/>
      <c r="Q8" s="13"/>
      <c r="R8" s="13"/>
      <c r="S8" s="13"/>
      <c r="T8" s="13"/>
      <c r="U8" s="13"/>
    </row>
    <row r="9" spans="1:21" x14ac:dyDescent="0.25">
      <c r="A9" s="115" t="s">
        <v>220</v>
      </c>
      <c r="B9" s="32"/>
      <c r="C9" s="13"/>
      <c r="D9" s="13"/>
      <c r="E9" s="3">
        <v>10</v>
      </c>
      <c r="F9" s="2">
        <v>60000</v>
      </c>
      <c r="G9" s="28">
        <f t="shared" ref="G9:G12" si="7">$G$3</f>
        <v>0.45</v>
      </c>
      <c r="H9" s="148">
        <v>200000</v>
      </c>
      <c r="I9" s="32"/>
      <c r="J9" s="13"/>
      <c r="K9" s="13"/>
      <c r="L9" s="3">
        <v>20</v>
      </c>
      <c r="M9" s="2">
        <v>18000</v>
      </c>
      <c r="N9" s="175">
        <f t="shared" si="6"/>
        <v>0.1</v>
      </c>
      <c r="O9" s="13"/>
      <c r="P9" s="13"/>
      <c r="Q9" s="13"/>
      <c r="R9" s="13"/>
      <c r="S9" s="13"/>
      <c r="T9" s="13"/>
      <c r="U9" s="13"/>
    </row>
    <row r="10" spans="1:21" x14ac:dyDescent="0.25">
      <c r="A10" s="115" t="s">
        <v>222</v>
      </c>
      <c r="B10" s="32"/>
      <c r="C10" s="13"/>
      <c r="D10" s="13"/>
      <c r="E10" s="3">
        <v>0</v>
      </c>
      <c r="F10" s="2">
        <v>60000</v>
      </c>
      <c r="G10" s="28">
        <f t="shared" si="7"/>
        <v>0.45</v>
      </c>
      <c r="H10" s="148">
        <v>0</v>
      </c>
      <c r="I10" s="32"/>
      <c r="J10" s="13"/>
      <c r="K10" s="13"/>
      <c r="L10" s="3">
        <v>0</v>
      </c>
      <c r="M10" s="2">
        <v>18000</v>
      </c>
      <c r="N10" s="175">
        <f t="shared" si="6"/>
        <v>0.1</v>
      </c>
      <c r="O10" s="13"/>
      <c r="P10" s="13"/>
      <c r="Q10" s="13"/>
      <c r="R10" s="13"/>
      <c r="S10" s="13"/>
      <c r="T10" s="13"/>
      <c r="U10" s="13"/>
    </row>
    <row r="11" spans="1:21" x14ac:dyDescent="0.25">
      <c r="A11" s="115" t="s">
        <v>195</v>
      </c>
      <c r="B11" s="32"/>
      <c r="C11" s="13"/>
      <c r="D11" s="13"/>
      <c r="E11" s="3">
        <v>0</v>
      </c>
      <c r="F11" s="2">
        <v>60000</v>
      </c>
      <c r="G11" s="28">
        <f t="shared" si="7"/>
        <v>0.45</v>
      </c>
      <c r="H11" s="148">
        <v>0</v>
      </c>
      <c r="I11" s="32"/>
      <c r="J11" s="13"/>
      <c r="K11" s="13"/>
      <c r="L11" s="3">
        <v>0</v>
      </c>
      <c r="M11" s="2">
        <v>18000</v>
      </c>
      <c r="N11" s="175">
        <f t="shared" si="6"/>
        <v>0.1</v>
      </c>
      <c r="O11" s="13"/>
      <c r="P11" s="13"/>
      <c r="Q11" s="13"/>
      <c r="R11" s="13"/>
      <c r="S11" s="13"/>
      <c r="T11" s="13"/>
      <c r="U11" s="13"/>
    </row>
    <row r="12" spans="1:21" x14ac:dyDescent="0.25">
      <c r="A12" s="115" t="s">
        <v>335</v>
      </c>
      <c r="B12" s="32"/>
      <c r="C12" s="13"/>
      <c r="D12" s="13"/>
      <c r="E12" s="3">
        <v>0</v>
      </c>
      <c r="F12" s="2">
        <v>60000</v>
      </c>
      <c r="G12" s="28">
        <f t="shared" si="7"/>
        <v>0.45</v>
      </c>
      <c r="H12" s="148">
        <v>0</v>
      </c>
      <c r="I12" s="32"/>
      <c r="J12" s="13"/>
      <c r="K12" s="13"/>
      <c r="L12" s="3">
        <v>0</v>
      </c>
      <c r="M12" s="2">
        <v>18000</v>
      </c>
      <c r="N12" s="175">
        <f t="shared" si="6"/>
        <v>0.1</v>
      </c>
      <c r="O12" s="13"/>
      <c r="P12" s="13"/>
      <c r="Q12" s="13"/>
      <c r="R12" s="13"/>
      <c r="S12" s="13"/>
      <c r="T12" s="13"/>
      <c r="U12" s="13"/>
    </row>
    <row r="13" spans="1:21" ht="15.75" thickBot="1" x14ac:dyDescent="0.3">
      <c r="A13" s="10" t="s">
        <v>5</v>
      </c>
      <c r="B13" s="32"/>
      <c r="C13" s="13"/>
      <c r="D13" s="13"/>
      <c r="E13" s="73">
        <v>20</v>
      </c>
      <c r="F13" s="2">
        <v>60000</v>
      </c>
      <c r="G13" s="28">
        <f>G3</f>
        <v>0.45</v>
      </c>
      <c r="H13" s="149">
        <v>1200000</v>
      </c>
      <c r="I13" s="32"/>
      <c r="J13" s="13"/>
      <c r="K13" s="13"/>
      <c r="L13" s="3">
        <v>5</v>
      </c>
      <c r="M13" s="2">
        <v>18000</v>
      </c>
      <c r="N13" s="175">
        <f t="shared" si="6"/>
        <v>0.1</v>
      </c>
      <c r="O13" s="13"/>
      <c r="P13" s="13"/>
      <c r="Q13" s="13"/>
      <c r="R13" s="13"/>
      <c r="S13" s="13"/>
      <c r="T13" s="13"/>
      <c r="U13" s="13"/>
    </row>
    <row r="14" spans="1:21" ht="15.75" thickBot="1" x14ac:dyDescent="0.3">
      <c r="A14" s="13"/>
      <c r="B14" s="39"/>
      <c r="C14" s="40"/>
      <c r="D14" s="40"/>
      <c r="E14" s="37" t="s">
        <v>62</v>
      </c>
      <c r="F14" s="40"/>
      <c r="G14" s="40"/>
      <c r="H14" s="74"/>
      <c r="I14" s="39"/>
      <c r="J14" s="50"/>
      <c r="K14" s="40"/>
      <c r="L14" s="51" t="s">
        <v>45</v>
      </c>
      <c r="M14" s="40"/>
      <c r="N14" s="55"/>
      <c r="O14" s="13"/>
      <c r="P14" s="13"/>
      <c r="Q14" s="13"/>
      <c r="R14" s="13"/>
      <c r="S14" s="13"/>
      <c r="T14" s="13"/>
      <c r="U14" s="13"/>
    </row>
    <row r="15" spans="1:21" x14ac:dyDescent="0.25">
      <c r="A15" s="9" t="s">
        <v>77</v>
      </c>
      <c r="B15" s="143">
        <f>Summary!$B$31+1</f>
        <v>2022</v>
      </c>
      <c r="C15" s="138">
        <f>B15+1</f>
        <v>2023</v>
      </c>
      <c r="D15" s="138">
        <f t="shared" ref="D15" si="8">C15+1</f>
        <v>2024</v>
      </c>
      <c r="E15" s="138">
        <f t="shared" ref="E15" si="9">D15+1</f>
        <v>2025</v>
      </c>
      <c r="F15" s="138">
        <f t="shared" ref="F15" si="10">E15+1</f>
        <v>2026</v>
      </c>
      <c r="G15" s="138">
        <f>F15+1</f>
        <v>2027</v>
      </c>
      <c r="H15" s="71"/>
      <c r="I15" s="144">
        <f>Summary!$B$31+1</f>
        <v>2022</v>
      </c>
      <c r="J15" s="145">
        <f>I15+1</f>
        <v>2023</v>
      </c>
      <c r="K15" s="145">
        <f t="shared" ref="K15" si="11">J15+1</f>
        <v>2024</v>
      </c>
      <c r="L15" s="145">
        <f t="shared" ref="L15" si="12">K15+1</f>
        <v>2025</v>
      </c>
      <c r="M15" s="145">
        <f t="shared" ref="M15" si="13">L15+1</f>
        <v>2026</v>
      </c>
      <c r="N15" s="150">
        <f t="shared" ref="N15" si="14">M15+1</f>
        <v>2027</v>
      </c>
      <c r="O15" s="13"/>
      <c r="P15" s="13"/>
      <c r="Q15" s="13"/>
      <c r="R15" s="13"/>
      <c r="S15" s="13"/>
      <c r="T15" s="13"/>
      <c r="U15" s="13"/>
    </row>
    <row r="16" spans="1:21" x14ac:dyDescent="0.25">
      <c r="A16" s="10" t="str">
        <f>$A$3</f>
        <v>Instruction</v>
      </c>
      <c r="B16" s="32"/>
      <c r="C16" s="142">
        <v>0</v>
      </c>
      <c r="D16" s="142">
        <v>0</v>
      </c>
      <c r="E16" s="142">
        <v>0</v>
      </c>
      <c r="F16" s="142">
        <v>4</v>
      </c>
      <c r="G16" s="142">
        <v>-4</v>
      </c>
      <c r="H16" s="48"/>
      <c r="I16" s="32"/>
      <c r="J16" s="142">
        <v>0</v>
      </c>
      <c r="K16" s="142">
        <v>0</v>
      </c>
      <c r="L16" s="142">
        <v>0</v>
      </c>
      <c r="M16" s="142">
        <v>0</v>
      </c>
      <c r="N16" s="151">
        <v>0</v>
      </c>
      <c r="O16" s="13"/>
      <c r="P16" s="13"/>
      <c r="Q16" s="13"/>
      <c r="R16" s="13"/>
      <c r="S16" s="13"/>
      <c r="T16" s="13"/>
      <c r="U16" s="13"/>
    </row>
    <row r="17" spans="1:21" x14ac:dyDescent="0.25">
      <c r="A17" s="10" t="str">
        <f>$A$4</f>
        <v>Research</v>
      </c>
      <c r="B17" s="32"/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48"/>
      <c r="I17" s="32"/>
      <c r="J17" s="3">
        <v>0</v>
      </c>
      <c r="K17" s="3">
        <v>0</v>
      </c>
      <c r="L17" s="3">
        <v>0</v>
      </c>
      <c r="M17" s="3">
        <v>0</v>
      </c>
      <c r="N17" s="44">
        <v>0</v>
      </c>
      <c r="O17" s="13"/>
      <c r="P17" s="13"/>
      <c r="Q17" s="13"/>
      <c r="R17" s="13"/>
      <c r="S17" s="13"/>
      <c r="T17" s="13"/>
      <c r="U17" s="13"/>
    </row>
    <row r="18" spans="1:21" x14ac:dyDescent="0.25">
      <c r="A18" s="10" t="str">
        <f>$A$5</f>
        <v>Public service</v>
      </c>
      <c r="B18" s="32"/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48"/>
      <c r="I18" s="32"/>
      <c r="J18" s="3">
        <v>0</v>
      </c>
      <c r="K18" s="3">
        <v>0</v>
      </c>
      <c r="L18" s="3">
        <v>0</v>
      </c>
      <c r="M18" s="3">
        <v>0</v>
      </c>
      <c r="N18" s="44">
        <v>0</v>
      </c>
      <c r="O18" s="13"/>
      <c r="P18" s="13"/>
      <c r="Q18" s="13"/>
      <c r="R18" s="13"/>
      <c r="S18" s="13"/>
      <c r="T18" s="13"/>
      <c r="U18" s="13"/>
    </row>
    <row r="19" spans="1:21" x14ac:dyDescent="0.25">
      <c r="A19" s="10" t="str">
        <f>$A$6</f>
        <v>Academic support</v>
      </c>
      <c r="B19" s="3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48"/>
      <c r="I19" s="32"/>
      <c r="J19" s="3">
        <v>0</v>
      </c>
      <c r="K19" s="3">
        <v>0</v>
      </c>
      <c r="L19" s="3">
        <v>0</v>
      </c>
      <c r="M19" s="3">
        <v>0</v>
      </c>
      <c r="N19" s="44">
        <v>0</v>
      </c>
      <c r="O19" s="13"/>
      <c r="P19" s="13"/>
      <c r="Q19" s="13"/>
      <c r="R19" s="13"/>
      <c r="S19" s="13"/>
      <c r="T19" s="13"/>
      <c r="U19" s="13"/>
    </row>
    <row r="20" spans="1:21" x14ac:dyDescent="0.25">
      <c r="A20" s="45"/>
      <c r="B20" s="45"/>
      <c r="C20" s="30"/>
      <c r="D20" s="30"/>
      <c r="E20" s="30"/>
      <c r="F20" s="30"/>
      <c r="G20" s="30"/>
      <c r="H20" s="46"/>
      <c r="I20" s="32"/>
      <c r="J20" s="13"/>
      <c r="K20" s="13"/>
      <c r="L20" s="13"/>
      <c r="M20" s="13"/>
      <c r="N20" s="48"/>
      <c r="O20" s="13"/>
      <c r="P20" s="13"/>
      <c r="Q20" s="13"/>
      <c r="R20" s="13"/>
      <c r="S20" s="13"/>
      <c r="T20" s="13"/>
      <c r="U20" s="13"/>
    </row>
    <row r="21" spans="1:21" x14ac:dyDescent="0.25">
      <c r="A21" s="32"/>
      <c r="B21" s="32"/>
      <c r="C21" s="13"/>
      <c r="D21" s="13"/>
      <c r="E21" s="13"/>
      <c r="F21" s="13"/>
      <c r="G21" s="13"/>
      <c r="H21" s="46"/>
      <c r="I21" s="32"/>
      <c r="J21" s="13"/>
      <c r="K21" s="13"/>
      <c r="L21" s="13"/>
      <c r="M21" s="13"/>
      <c r="N21" s="48"/>
      <c r="O21" s="13"/>
      <c r="P21" s="13"/>
      <c r="Q21" s="13"/>
      <c r="R21" s="13"/>
      <c r="S21" s="13"/>
      <c r="T21" s="13"/>
      <c r="U21" s="13"/>
    </row>
    <row r="22" spans="1:21" x14ac:dyDescent="0.25">
      <c r="A22" s="19" t="s">
        <v>78</v>
      </c>
      <c r="B22" s="143">
        <f>Summary!$B$31+1</f>
        <v>2022</v>
      </c>
      <c r="C22" s="138">
        <f>B22+1</f>
        <v>2023</v>
      </c>
      <c r="D22" s="138">
        <f t="shared" ref="D22" si="15">C22+1</f>
        <v>2024</v>
      </c>
      <c r="E22" s="138">
        <f t="shared" ref="E22" si="16">D22+1</f>
        <v>2025</v>
      </c>
      <c r="F22" s="138">
        <f t="shared" ref="F22" si="17">E22+1</f>
        <v>2026</v>
      </c>
      <c r="G22" s="138">
        <f>F22+1</f>
        <v>2027</v>
      </c>
      <c r="H22" s="48"/>
      <c r="I22" s="143">
        <f>Summary!$B$31+1</f>
        <v>2022</v>
      </c>
      <c r="J22" s="138">
        <f>I22+1</f>
        <v>2023</v>
      </c>
      <c r="K22" s="138">
        <f t="shared" ref="K22" si="18">J22+1</f>
        <v>2024</v>
      </c>
      <c r="L22" s="138">
        <f t="shared" ref="L22" si="19">K22+1</f>
        <v>2025</v>
      </c>
      <c r="M22" s="138">
        <f t="shared" ref="M22" si="20">L22+1</f>
        <v>2026</v>
      </c>
      <c r="N22" s="57">
        <f>M22+1</f>
        <v>2027</v>
      </c>
      <c r="O22" s="13"/>
      <c r="P22" s="13"/>
      <c r="Q22" s="13"/>
      <c r="R22" s="13"/>
      <c r="S22" s="13"/>
      <c r="T22" s="13"/>
      <c r="U22" s="13"/>
    </row>
    <row r="23" spans="1:21" x14ac:dyDescent="0.25">
      <c r="A23" s="10" t="str">
        <f>$A$3</f>
        <v>Instruction</v>
      </c>
      <c r="B23" s="32"/>
      <c r="C23" s="142">
        <v>0</v>
      </c>
      <c r="D23" s="142">
        <v>0</v>
      </c>
      <c r="E23" s="142">
        <v>0</v>
      </c>
      <c r="F23" s="142">
        <v>0</v>
      </c>
      <c r="G23" s="142">
        <v>0</v>
      </c>
      <c r="H23" s="48"/>
      <c r="I23" s="32"/>
      <c r="J23" s="142">
        <v>0</v>
      </c>
      <c r="K23" s="142">
        <v>0</v>
      </c>
      <c r="L23" s="142">
        <v>0</v>
      </c>
      <c r="M23" s="142">
        <v>0</v>
      </c>
      <c r="N23" s="44">
        <v>0</v>
      </c>
      <c r="O23" s="13"/>
      <c r="P23" s="13"/>
      <c r="Q23" s="13"/>
      <c r="R23" s="13"/>
      <c r="S23" s="13"/>
      <c r="T23" s="13"/>
      <c r="U23" s="13"/>
    </row>
    <row r="24" spans="1:21" x14ac:dyDescent="0.25">
      <c r="A24" s="10" t="str">
        <f>$A$4</f>
        <v>Research</v>
      </c>
      <c r="B24" s="32"/>
      <c r="C24" s="3">
        <v>0</v>
      </c>
      <c r="D24" s="3">
        <v>0</v>
      </c>
      <c r="E24" s="3">
        <v>0</v>
      </c>
      <c r="F24" s="3">
        <v>0</v>
      </c>
      <c r="G24" s="3"/>
      <c r="H24" s="48"/>
      <c r="I24" s="32"/>
      <c r="J24" s="3">
        <v>0</v>
      </c>
      <c r="K24" s="3">
        <v>0</v>
      </c>
      <c r="L24" s="3">
        <v>0</v>
      </c>
      <c r="M24" s="3">
        <v>0</v>
      </c>
      <c r="N24" s="44"/>
      <c r="O24" s="13"/>
      <c r="P24" s="13"/>
      <c r="Q24" s="13"/>
      <c r="R24" s="13"/>
      <c r="S24" s="13"/>
      <c r="T24" s="13"/>
      <c r="U24" s="13"/>
    </row>
    <row r="25" spans="1:21" x14ac:dyDescent="0.25">
      <c r="A25" s="10" t="str">
        <f>$A$5</f>
        <v>Public service</v>
      </c>
      <c r="B25" s="32"/>
      <c r="C25" s="3">
        <v>0</v>
      </c>
      <c r="D25" s="3">
        <v>0</v>
      </c>
      <c r="E25" s="3">
        <v>0</v>
      </c>
      <c r="F25" s="3">
        <v>0</v>
      </c>
      <c r="G25" s="3"/>
      <c r="H25" s="48"/>
      <c r="I25" s="32"/>
      <c r="J25" s="3">
        <v>0</v>
      </c>
      <c r="K25" s="3">
        <v>0</v>
      </c>
      <c r="L25" s="3">
        <v>0</v>
      </c>
      <c r="M25" s="3">
        <v>0</v>
      </c>
      <c r="N25" s="44"/>
      <c r="O25" s="13"/>
      <c r="P25" s="13"/>
      <c r="Q25" s="13"/>
      <c r="R25" s="13"/>
      <c r="S25" s="13"/>
      <c r="T25" s="13"/>
      <c r="U25" s="13"/>
    </row>
    <row r="26" spans="1:21" x14ac:dyDescent="0.25">
      <c r="A26" s="10" t="str">
        <f>$A$6</f>
        <v>Academic support</v>
      </c>
      <c r="B26" s="32"/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48"/>
      <c r="I26" s="32"/>
      <c r="J26" s="3">
        <v>0</v>
      </c>
      <c r="K26" s="3">
        <v>0</v>
      </c>
      <c r="L26" s="3">
        <v>0</v>
      </c>
      <c r="M26" s="3">
        <v>0</v>
      </c>
      <c r="N26" s="44">
        <v>0</v>
      </c>
      <c r="O26" s="13"/>
      <c r="P26" s="13"/>
      <c r="Q26" s="13"/>
      <c r="R26" s="13"/>
      <c r="S26" s="13"/>
      <c r="T26" s="13"/>
      <c r="U26" s="13"/>
    </row>
    <row r="27" spans="1:21" x14ac:dyDescent="0.25">
      <c r="A27" s="10" t="str">
        <f>$A$7</f>
        <v>Student services</v>
      </c>
      <c r="B27" s="32"/>
      <c r="C27" s="3">
        <v>0</v>
      </c>
      <c r="D27" s="3">
        <v>3</v>
      </c>
      <c r="E27" s="3">
        <v>0</v>
      </c>
      <c r="F27" s="3">
        <v>0</v>
      </c>
      <c r="G27" s="3">
        <v>0</v>
      </c>
      <c r="H27" s="48"/>
      <c r="I27" s="32"/>
      <c r="J27" s="3">
        <v>0</v>
      </c>
      <c r="K27" s="3">
        <v>0</v>
      </c>
      <c r="L27" s="3">
        <v>0</v>
      </c>
      <c r="M27" s="3">
        <v>0</v>
      </c>
      <c r="N27" s="44">
        <v>0</v>
      </c>
      <c r="O27" s="13"/>
      <c r="P27" s="13"/>
      <c r="Q27" s="13"/>
      <c r="R27" s="13"/>
      <c r="S27" s="13"/>
      <c r="T27" s="13"/>
      <c r="U27" s="13"/>
    </row>
    <row r="28" spans="1:21" x14ac:dyDescent="0.25">
      <c r="A28" s="10" t="str">
        <f>$A$8</f>
        <v>Institutional support</v>
      </c>
      <c r="B28" s="32"/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48"/>
      <c r="I28" s="32"/>
      <c r="J28" s="3">
        <v>0</v>
      </c>
      <c r="K28" s="3">
        <v>0</v>
      </c>
      <c r="L28" s="3">
        <v>0</v>
      </c>
      <c r="M28" s="3">
        <v>0</v>
      </c>
      <c r="N28" s="44">
        <v>0</v>
      </c>
      <c r="O28" s="13"/>
      <c r="P28" s="13"/>
      <c r="Q28" s="13"/>
      <c r="R28" s="13"/>
      <c r="S28" s="13"/>
      <c r="T28" s="13"/>
      <c r="U28" s="13"/>
    </row>
    <row r="29" spans="1:21" x14ac:dyDescent="0.25">
      <c r="A29" s="10" t="str">
        <f>$A$9</f>
        <v>Auxiliary enterprises</v>
      </c>
      <c r="B29" s="32"/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48"/>
      <c r="I29" s="32"/>
      <c r="J29" s="3">
        <v>0</v>
      </c>
      <c r="K29" s="3">
        <v>0</v>
      </c>
      <c r="L29" s="3">
        <v>0</v>
      </c>
      <c r="M29" s="3">
        <v>0</v>
      </c>
      <c r="N29" s="44">
        <v>0</v>
      </c>
      <c r="O29" s="13"/>
      <c r="P29" s="13"/>
      <c r="Q29" s="13"/>
      <c r="R29" s="13"/>
      <c r="S29" s="13"/>
      <c r="T29" s="13"/>
      <c r="U29" s="13"/>
    </row>
    <row r="30" spans="1:21" x14ac:dyDescent="0.25">
      <c r="A30" s="10" t="str">
        <f>$A$10</f>
        <v>Hospital services</v>
      </c>
      <c r="B30" s="32"/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48"/>
      <c r="I30" s="32"/>
      <c r="J30" s="3">
        <v>0</v>
      </c>
      <c r="K30" s="3">
        <v>0</v>
      </c>
      <c r="L30" s="3">
        <v>0</v>
      </c>
      <c r="M30" s="3">
        <v>0</v>
      </c>
      <c r="N30" s="44">
        <v>0</v>
      </c>
      <c r="O30" s="13"/>
      <c r="P30" s="13"/>
      <c r="Q30" s="13"/>
      <c r="R30" s="13"/>
      <c r="S30" s="13"/>
      <c r="T30" s="13"/>
      <c r="U30" s="13"/>
    </row>
    <row r="31" spans="1:21" x14ac:dyDescent="0.25">
      <c r="A31" s="10" t="str">
        <f>$A$11</f>
        <v>Independent operatons</v>
      </c>
      <c r="B31" s="32"/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48"/>
      <c r="I31" s="32"/>
      <c r="J31" s="3">
        <v>0</v>
      </c>
      <c r="K31" s="3">
        <v>0</v>
      </c>
      <c r="L31" s="3">
        <v>0</v>
      </c>
      <c r="M31" s="3">
        <v>0</v>
      </c>
      <c r="N31" s="44">
        <v>0</v>
      </c>
      <c r="O31" s="13"/>
      <c r="P31" s="13"/>
      <c r="Q31" s="13"/>
      <c r="R31" s="13"/>
      <c r="S31" s="13"/>
      <c r="T31" s="13"/>
      <c r="U31" s="13"/>
    </row>
    <row r="32" spans="1:21" x14ac:dyDescent="0.25">
      <c r="A32" s="10" t="str">
        <f>$A$12</f>
        <v>Other functional expenses and deductions</v>
      </c>
      <c r="B32" s="32"/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48"/>
      <c r="I32" s="32"/>
      <c r="J32" s="3">
        <v>0</v>
      </c>
      <c r="K32" s="3">
        <v>0</v>
      </c>
      <c r="L32" s="3">
        <v>0</v>
      </c>
      <c r="M32" s="3">
        <v>0</v>
      </c>
      <c r="N32" s="44">
        <v>0</v>
      </c>
      <c r="O32" s="13"/>
      <c r="P32" s="13"/>
      <c r="Q32" s="13"/>
      <c r="R32" s="13"/>
      <c r="S32" s="13"/>
      <c r="T32" s="13"/>
      <c r="U32" s="13"/>
    </row>
    <row r="33" spans="1:22" ht="15.75" thickBot="1" x14ac:dyDescent="0.3">
      <c r="A33" s="10" t="str">
        <f>$A$13</f>
        <v>Plant Operations</v>
      </c>
      <c r="B33" s="33"/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49"/>
      <c r="I33" s="33"/>
      <c r="J33" s="34">
        <v>0</v>
      </c>
      <c r="K33" s="34">
        <v>2</v>
      </c>
      <c r="L33" s="34">
        <v>0</v>
      </c>
      <c r="M33" s="34">
        <v>0</v>
      </c>
      <c r="N33" s="152">
        <v>0</v>
      </c>
      <c r="O33" s="13"/>
      <c r="P33" s="13"/>
      <c r="Q33" s="13"/>
      <c r="R33" s="13"/>
      <c r="S33" s="13"/>
      <c r="T33" s="13"/>
      <c r="U33" s="13"/>
    </row>
    <row r="34" spans="1:22" ht="15.75" thickBo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spans="1:22" x14ac:dyDescent="0.25">
      <c r="A35" s="48"/>
      <c r="B35" s="39"/>
      <c r="C35" s="40"/>
      <c r="D35" s="40"/>
      <c r="E35" s="66" t="s">
        <v>62</v>
      </c>
      <c r="F35" s="40"/>
      <c r="G35" s="69"/>
      <c r="H35" s="41" t="s">
        <v>61</v>
      </c>
      <c r="I35" s="70"/>
      <c r="J35" s="50"/>
      <c r="K35" s="40"/>
      <c r="L35" s="89" t="s">
        <v>45</v>
      </c>
      <c r="M35" s="40"/>
      <c r="N35" s="69"/>
      <c r="O35" s="41" t="s">
        <v>61</v>
      </c>
      <c r="P35" s="8"/>
      <c r="Q35" s="13"/>
      <c r="R35" s="13"/>
      <c r="S35" s="13"/>
      <c r="T35" s="13"/>
      <c r="U35" s="13"/>
      <c r="V35" s="13"/>
    </row>
    <row r="36" spans="1:22" x14ac:dyDescent="0.25">
      <c r="A36" s="9" t="s">
        <v>16</v>
      </c>
      <c r="B36" s="143">
        <f>Summary!$B$31+1</f>
        <v>2022</v>
      </c>
      <c r="C36" s="138">
        <f>B36+1</f>
        <v>2023</v>
      </c>
      <c r="D36" s="138">
        <f t="shared" ref="D36:F36" si="21">C36+1</f>
        <v>2024</v>
      </c>
      <c r="E36" s="138">
        <f t="shared" si="21"/>
        <v>2025</v>
      </c>
      <c r="F36" s="138">
        <f t="shared" si="21"/>
        <v>2026</v>
      </c>
      <c r="G36" s="138">
        <f>F36+1</f>
        <v>2027</v>
      </c>
      <c r="H36" s="71"/>
      <c r="I36" s="143">
        <f>Summary!$B$31+1</f>
        <v>2022</v>
      </c>
      <c r="J36" s="138">
        <f>I36+1</f>
        <v>2023</v>
      </c>
      <c r="K36" s="138">
        <f t="shared" ref="K36:N36" si="22">J36+1</f>
        <v>2024</v>
      </c>
      <c r="L36" s="138">
        <f t="shared" si="22"/>
        <v>2025</v>
      </c>
      <c r="M36" s="138">
        <f t="shared" si="22"/>
        <v>2026</v>
      </c>
      <c r="N36" s="138">
        <f t="shared" si="22"/>
        <v>2027</v>
      </c>
      <c r="O36" s="71"/>
      <c r="P36" s="13"/>
      <c r="Q36" s="13"/>
      <c r="R36" s="13"/>
      <c r="S36" s="13"/>
      <c r="T36" s="13"/>
      <c r="U36" s="13"/>
      <c r="V36" s="13"/>
    </row>
    <row r="37" spans="1:22" x14ac:dyDescent="0.25">
      <c r="A37" s="10" t="str">
        <f>$A$3</f>
        <v>Instruction</v>
      </c>
      <c r="B37" s="42">
        <f>B3</f>
        <v>120</v>
      </c>
      <c r="C37" s="38">
        <f>B37+$H$37+C16</f>
        <v>117</v>
      </c>
      <c r="D37" s="38">
        <f>C37+$H$37+D16</f>
        <v>114</v>
      </c>
      <c r="E37" s="38">
        <f>D37+$H$37+E16</f>
        <v>111</v>
      </c>
      <c r="F37" s="38">
        <f>E37+$H$37+F16</f>
        <v>112</v>
      </c>
      <c r="G37" s="38">
        <f>F37+$H$37+G16</f>
        <v>105</v>
      </c>
      <c r="H37" s="43">
        <f>Summary!B16</f>
        <v>-3</v>
      </c>
      <c r="I37" s="42">
        <f>I3</f>
        <v>20</v>
      </c>
      <c r="J37" s="38">
        <f>I37+$O$37</f>
        <v>28</v>
      </c>
      <c r="K37" s="38">
        <f t="shared" ref="K37:N37" si="23">J37+$O$37</f>
        <v>36</v>
      </c>
      <c r="L37" s="38">
        <f t="shared" si="23"/>
        <v>44</v>
      </c>
      <c r="M37" s="38">
        <f t="shared" si="23"/>
        <v>52</v>
      </c>
      <c r="N37" s="38">
        <f t="shared" si="23"/>
        <v>60</v>
      </c>
      <c r="O37" s="43">
        <f>Summary!$B$18</f>
        <v>8</v>
      </c>
      <c r="P37" s="13"/>
      <c r="Q37" s="13"/>
      <c r="R37" s="13"/>
      <c r="S37" s="13"/>
      <c r="T37" s="13"/>
      <c r="U37" s="13"/>
      <c r="V37" s="13"/>
    </row>
    <row r="38" spans="1:22" x14ac:dyDescent="0.25">
      <c r="A38" s="10" t="str">
        <f>$A$4</f>
        <v>Research</v>
      </c>
      <c r="B38" s="42">
        <f>B4</f>
        <v>0</v>
      </c>
      <c r="C38" s="38">
        <f>B38+$H$38+C17</f>
        <v>0</v>
      </c>
      <c r="D38" s="38">
        <f>C38+$H$38+D17</f>
        <v>0</v>
      </c>
      <c r="E38" s="38">
        <f>D38+$H$38+E17</f>
        <v>0</v>
      </c>
      <c r="F38" s="38">
        <f>E38+$H$38+F17</f>
        <v>0</v>
      </c>
      <c r="G38" s="38">
        <f>F38+$H$38+G17</f>
        <v>0</v>
      </c>
      <c r="H38" s="44">
        <v>0</v>
      </c>
      <c r="I38" s="42">
        <f>I4</f>
        <v>0</v>
      </c>
      <c r="J38" s="38">
        <f>I38+$O$38</f>
        <v>0</v>
      </c>
      <c r="K38" s="38">
        <f t="shared" ref="K38:N38" si="24">J38+$O$38</f>
        <v>0</v>
      </c>
      <c r="L38" s="38">
        <f t="shared" si="24"/>
        <v>0</v>
      </c>
      <c r="M38" s="38">
        <f t="shared" si="24"/>
        <v>0</v>
      </c>
      <c r="N38" s="38">
        <f t="shared" si="24"/>
        <v>0</v>
      </c>
      <c r="O38" s="44">
        <v>0</v>
      </c>
      <c r="P38" s="13"/>
      <c r="Q38" s="13"/>
      <c r="R38" s="13"/>
      <c r="S38" s="13"/>
      <c r="T38" s="13"/>
      <c r="U38" s="13"/>
      <c r="V38" s="13"/>
    </row>
    <row r="39" spans="1:22" x14ac:dyDescent="0.25">
      <c r="A39" s="10" t="str">
        <f>$A$5</f>
        <v>Public service</v>
      </c>
      <c r="B39" s="42">
        <f>B5</f>
        <v>0</v>
      </c>
      <c r="C39" s="38">
        <f>B39+$H$39+C18</f>
        <v>0</v>
      </c>
      <c r="D39" s="38">
        <f>C39+$H$39+D18</f>
        <v>0</v>
      </c>
      <c r="E39" s="38">
        <f>D39+$H$39+E18</f>
        <v>0</v>
      </c>
      <c r="F39" s="38">
        <f>E39+$H$39+F18</f>
        <v>0</v>
      </c>
      <c r="G39" s="38">
        <f>F39+$H$39+G18</f>
        <v>0</v>
      </c>
      <c r="H39" s="44">
        <v>0</v>
      </c>
      <c r="I39" s="42">
        <f>I5</f>
        <v>0</v>
      </c>
      <c r="J39" s="38">
        <f>I39+$O$39</f>
        <v>0</v>
      </c>
      <c r="K39" s="38">
        <f t="shared" ref="K39:N39" si="25">J39+$O$39</f>
        <v>0</v>
      </c>
      <c r="L39" s="38">
        <f t="shared" si="25"/>
        <v>0</v>
      </c>
      <c r="M39" s="38">
        <f t="shared" si="25"/>
        <v>0</v>
      </c>
      <c r="N39" s="38">
        <f t="shared" si="25"/>
        <v>0</v>
      </c>
      <c r="O39" s="44">
        <v>0</v>
      </c>
      <c r="P39" s="13"/>
      <c r="Q39" s="13"/>
      <c r="R39" s="13"/>
      <c r="S39" s="13"/>
      <c r="T39" s="13"/>
      <c r="U39" s="13"/>
      <c r="V39" s="13"/>
    </row>
    <row r="40" spans="1:22" x14ac:dyDescent="0.25">
      <c r="A40" s="10" t="str">
        <f>$A$6</f>
        <v>Academic support</v>
      </c>
      <c r="B40" s="42">
        <f>B6</f>
        <v>10</v>
      </c>
      <c r="C40" s="38">
        <f>B40+$H$40+C19</f>
        <v>10</v>
      </c>
      <c r="D40" s="38">
        <f>C40+$H$40+D19</f>
        <v>10</v>
      </c>
      <c r="E40" s="38">
        <f>D40+$H$40+E19</f>
        <v>10</v>
      </c>
      <c r="F40" s="38">
        <f>E40+$H$40+F19</f>
        <v>10</v>
      </c>
      <c r="G40" s="38">
        <f>F40+$H$40+G19</f>
        <v>10</v>
      </c>
      <c r="H40" s="44">
        <v>0</v>
      </c>
      <c r="I40" s="42">
        <f>I6</f>
        <v>0</v>
      </c>
      <c r="J40" s="38">
        <f>I40+$O$40</f>
        <v>0</v>
      </c>
      <c r="K40" s="38">
        <f t="shared" ref="K40:N40" si="26">J40+$O$40</f>
        <v>0</v>
      </c>
      <c r="L40" s="38">
        <f t="shared" si="26"/>
        <v>0</v>
      </c>
      <c r="M40" s="38">
        <f t="shared" si="26"/>
        <v>0</v>
      </c>
      <c r="N40" s="38">
        <f t="shared" si="26"/>
        <v>0</v>
      </c>
      <c r="O40" s="44">
        <v>0</v>
      </c>
      <c r="P40" s="13"/>
      <c r="Q40" s="13"/>
      <c r="R40" s="13"/>
      <c r="S40" s="13"/>
      <c r="T40" s="13"/>
      <c r="U40" s="13"/>
      <c r="V40" s="13"/>
    </row>
    <row r="41" spans="1:22" x14ac:dyDescent="0.25">
      <c r="A41" s="10"/>
      <c r="B41" s="45"/>
      <c r="C41" s="30"/>
      <c r="D41" s="30"/>
      <c r="E41" s="30"/>
      <c r="F41" s="30"/>
      <c r="G41" s="30"/>
      <c r="H41" s="46"/>
      <c r="I41" s="32"/>
      <c r="J41" s="13"/>
      <c r="K41" s="13"/>
      <c r="L41" s="13"/>
      <c r="M41" s="13"/>
      <c r="N41" s="13"/>
      <c r="O41" s="48"/>
      <c r="P41" s="13"/>
      <c r="Q41" s="13"/>
      <c r="R41" s="13"/>
      <c r="S41" s="13"/>
      <c r="T41" s="13"/>
      <c r="U41" s="13"/>
      <c r="V41" s="13"/>
    </row>
    <row r="42" spans="1:22" x14ac:dyDescent="0.25">
      <c r="A42" s="10"/>
      <c r="B42" s="32"/>
      <c r="C42" s="13"/>
      <c r="D42" s="13"/>
      <c r="E42" s="13"/>
      <c r="F42" s="13"/>
      <c r="G42" s="13"/>
      <c r="H42" s="47" t="s">
        <v>20</v>
      </c>
      <c r="I42" s="32"/>
      <c r="J42" s="13"/>
      <c r="K42" s="13"/>
      <c r="L42" s="13"/>
      <c r="M42" s="13"/>
      <c r="N42" s="13"/>
      <c r="O42" s="47" t="s">
        <v>20</v>
      </c>
      <c r="P42" s="13"/>
      <c r="Q42" s="13"/>
      <c r="R42" s="13"/>
      <c r="S42" s="13"/>
      <c r="T42" s="13"/>
      <c r="U42" s="13"/>
      <c r="V42" s="13"/>
    </row>
    <row r="43" spans="1:22" x14ac:dyDescent="0.25">
      <c r="A43" s="19" t="s">
        <v>17</v>
      </c>
      <c r="B43" s="143">
        <f>Summary!$B$31+1</f>
        <v>2022</v>
      </c>
      <c r="C43" s="138">
        <f>B43+1</f>
        <v>2023</v>
      </c>
      <c r="D43" s="138">
        <f t="shared" ref="D43:F43" si="27">C43+1</f>
        <v>2024</v>
      </c>
      <c r="E43" s="138">
        <f t="shared" si="27"/>
        <v>2025</v>
      </c>
      <c r="F43" s="138">
        <f t="shared" si="27"/>
        <v>2026</v>
      </c>
      <c r="G43" s="138">
        <f>F43+1</f>
        <v>2027</v>
      </c>
      <c r="H43" s="43">
        <f>Summary!B17</f>
        <v>-3</v>
      </c>
      <c r="I43" s="143">
        <f>Summary!$B$31+1</f>
        <v>2022</v>
      </c>
      <c r="J43" s="138">
        <f>I43+1</f>
        <v>2023</v>
      </c>
      <c r="K43" s="138">
        <f t="shared" ref="K43" si="28">J43+1</f>
        <v>2024</v>
      </c>
      <c r="L43" s="138">
        <f t="shared" ref="L43" si="29">K43+1</f>
        <v>2025</v>
      </c>
      <c r="M43" s="138">
        <f t="shared" ref="M43" si="30">L43+1</f>
        <v>2026</v>
      </c>
      <c r="N43" s="138">
        <f>M43+1</f>
        <v>2027</v>
      </c>
      <c r="O43" s="43">
        <f>Summary!$B$19</f>
        <v>-1</v>
      </c>
      <c r="P43" s="13"/>
      <c r="Q43" s="13"/>
      <c r="R43" s="13"/>
      <c r="S43" s="13"/>
      <c r="T43" s="13"/>
      <c r="U43" s="13"/>
      <c r="V43" s="13"/>
    </row>
    <row r="44" spans="1:22" x14ac:dyDescent="0.25">
      <c r="A44" s="10" t="str">
        <f>$A$3</f>
        <v>Instruction</v>
      </c>
      <c r="B44" s="75">
        <f t="shared" ref="B44:B54" si="31">E3</f>
        <v>20</v>
      </c>
      <c r="C44" s="21">
        <f>Staffing!B44+C23+(B44/B$55)*$H$43</f>
        <v>19.636363636363637</v>
      </c>
      <c r="D44" s="21">
        <f>Staffing!C44+D23+(C44/C$55)*$H$43</f>
        <v>19.272727272727273</v>
      </c>
      <c r="E44" s="21">
        <f>Staffing!D44+E23+(D44/D$55)*$H$43</f>
        <v>18.915824915824917</v>
      </c>
      <c r="F44" s="21">
        <f>Staffing!E44+F23+(E44/E$55)*$H$43</f>
        <v>18.558922558922561</v>
      </c>
      <c r="G44" s="21">
        <f>Staffing!F44+G23+(F44/F$55)*$H$43</f>
        <v>18.202020202020204</v>
      </c>
      <c r="H44" s="48"/>
      <c r="I44" s="75">
        <f t="shared" ref="I44:I54" si="32">L3</f>
        <v>5</v>
      </c>
      <c r="J44" s="21">
        <f>Staffing!I44+J23+(I44/I$55)*$O$43</f>
        <v>4.9333333333333336</v>
      </c>
      <c r="K44" s="21">
        <f>Staffing!J44+K23+(J44/J$55)*$O$43</f>
        <v>4.8666666666666671</v>
      </c>
      <c r="L44" s="21">
        <f>Staffing!K44+L23+(K44/K$55)*$O$43</f>
        <v>4.8017777777777786</v>
      </c>
      <c r="M44" s="21">
        <f>Staffing!L44+M23+(L44/L$55)*$O$43</f>
        <v>4.73688888888889</v>
      </c>
      <c r="N44" s="21">
        <f>Staffing!M44+N23+(M44/M$55)*$O$43</f>
        <v>4.6720000000000015</v>
      </c>
      <c r="O44" s="48"/>
      <c r="P44" s="13"/>
      <c r="Q44" s="13"/>
      <c r="R44" s="13"/>
      <c r="S44" s="13"/>
      <c r="T44" s="13"/>
      <c r="U44" s="13"/>
      <c r="V44" s="13"/>
    </row>
    <row r="45" spans="1:22" x14ac:dyDescent="0.25">
      <c r="A45" s="10" t="str">
        <f>$A$4</f>
        <v>Research</v>
      </c>
      <c r="B45" s="75">
        <f t="shared" si="31"/>
        <v>20</v>
      </c>
      <c r="C45" s="21">
        <f>Staffing!B45+C24+(B45/B$55)*$H$43</f>
        <v>19.636363636363637</v>
      </c>
      <c r="D45" s="21">
        <f>Staffing!C45+D24+(C45/C$55)*$H$43</f>
        <v>19.272727272727273</v>
      </c>
      <c r="E45" s="21">
        <f>Staffing!D45+E24+(D45/D$55)*$H$43</f>
        <v>18.915824915824917</v>
      </c>
      <c r="F45" s="21">
        <f>Staffing!E45+F24+(E45/E$55)*$H$43</f>
        <v>18.558922558922561</v>
      </c>
      <c r="G45" s="21">
        <f>Staffing!F45+G24+(F45/F$55)*$H$43</f>
        <v>18.202020202020204</v>
      </c>
      <c r="H45" s="48"/>
      <c r="I45" s="75">
        <f t="shared" si="32"/>
        <v>0</v>
      </c>
      <c r="J45" s="21">
        <f>Staffing!I45+J24+(I45/I$55)*$O$43</f>
        <v>0</v>
      </c>
      <c r="K45" s="21">
        <f>Staffing!J45+K24+(J45/J$55)*$O$43</f>
        <v>0</v>
      </c>
      <c r="L45" s="21">
        <f>Staffing!K45+L24+(K45/K$55)*$O$43</f>
        <v>0</v>
      </c>
      <c r="M45" s="21">
        <f>Staffing!L45+M24+(L45/L$55)*$O$43</f>
        <v>0</v>
      </c>
      <c r="N45" s="21">
        <f>Staffing!M45+N24+(M45/M$55)*$O$43</f>
        <v>0</v>
      </c>
      <c r="O45" s="48"/>
      <c r="P45" s="13"/>
      <c r="Q45" s="13"/>
      <c r="R45" s="13"/>
      <c r="S45" s="13"/>
      <c r="T45" s="13"/>
      <c r="U45" s="13"/>
      <c r="V45" s="13"/>
    </row>
    <row r="46" spans="1:22" x14ac:dyDescent="0.25">
      <c r="A46" s="10" t="str">
        <f>$A$5</f>
        <v>Public service</v>
      </c>
      <c r="B46" s="75">
        <f t="shared" si="31"/>
        <v>20</v>
      </c>
      <c r="C46" s="21">
        <f>Staffing!B46+C25+(B46/B$55)*$H$43</f>
        <v>19.636363636363637</v>
      </c>
      <c r="D46" s="21">
        <f>Staffing!C46+D25+(C46/C$55)*$H$43</f>
        <v>19.272727272727273</v>
      </c>
      <c r="E46" s="21">
        <f>Staffing!D46+E25+(D46/D$55)*$H$43</f>
        <v>18.915824915824917</v>
      </c>
      <c r="F46" s="21">
        <f>Staffing!E46+F25+(E46/E$55)*$H$43</f>
        <v>18.558922558922561</v>
      </c>
      <c r="G46" s="21">
        <f>Staffing!F46+G25+(F46/F$55)*$H$43</f>
        <v>18.202020202020204</v>
      </c>
      <c r="H46" s="48"/>
      <c r="I46" s="75">
        <f t="shared" si="32"/>
        <v>0</v>
      </c>
      <c r="J46" s="21">
        <f>Staffing!I46+J25+(I46/I$55)*$O$43</f>
        <v>0</v>
      </c>
      <c r="K46" s="21">
        <f>Staffing!J46+K25+(J46/J$55)*$O$43</f>
        <v>0</v>
      </c>
      <c r="L46" s="21">
        <f>Staffing!K46+L25+(K46/K$55)*$O$43</f>
        <v>0</v>
      </c>
      <c r="M46" s="21">
        <f>Staffing!L46+M25+(L46/L$55)*$O$43</f>
        <v>0</v>
      </c>
      <c r="N46" s="21">
        <f>Staffing!M46+N25+(M46/M$55)*$O$43</f>
        <v>0</v>
      </c>
      <c r="O46" s="48"/>
      <c r="P46" s="13"/>
      <c r="Q46" s="13"/>
      <c r="R46" s="13"/>
      <c r="S46" s="13"/>
      <c r="T46" s="13"/>
      <c r="U46" s="13"/>
      <c r="V46" s="13"/>
    </row>
    <row r="47" spans="1:22" x14ac:dyDescent="0.25">
      <c r="A47" s="10" t="str">
        <f>$A$6</f>
        <v>Academic support</v>
      </c>
      <c r="B47" s="75">
        <f t="shared" si="31"/>
        <v>25</v>
      </c>
      <c r="C47" s="21">
        <f>Staffing!B47+C26+(B47/B$55)*$H$43</f>
        <v>24.545454545454547</v>
      </c>
      <c r="D47" s="21">
        <f>Staffing!C47+D26+(C47/C$55)*$H$43</f>
        <v>24.090909090909093</v>
      </c>
      <c r="E47" s="21">
        <f>Staffing!D47+E26+(D47/D$55)*$H$43</f>
        <v>23.644781144781149</v>
      </c>
      <c r="F47" s="21">
        <f>Staffing!E47+F26+(E47/E$55)*$H$43</f>
        <v>23.198653198653204</v>
      </c>
      <c r="G47" s="21">
        <f>Staffing!F47+G26+(F47/F$55)*$H$43</f>
        <v>22.75252525252526</v>
      </c>
      <c r="H47" s="48"/>
      <c r="I47" s="75">
        <f t="shared" si="32"/>
        <v>20</v>
      </c>
      <c r="J47" s="21">
        <f>Staffing!I47+J26+(I47/I$55)*$O$43</f>
        <v>19.733333333333334</v>
      </c>
      <c r="K47" s="21">
        <f>Staffing!J47+K26+(J47/J$55)*$O$43</f>
        <v>19.466666666666669</v>
      </c>
      <c r="L47" s="21">
        <f>Staffing!K47+L26+(K47/K$55)*$O$43</f>
        <v>19.207111111111114</v>
      </c>
      <c r="M47" s="21">
        <f>Staffing!L47+M26+(L47/L$55)*$O$43</f>
        <v>18.94755555555556</v>
      </c>
      <c r="N47" s="21">
        <f>Staffing!M47+N26+(M47/M$55)*$O$43</f>
        <v>18.688000000000006</v>
      </c>
      <c r="O47" s="48"/>
      <c r="P47" s="13"/>
      <c r="Q47" s="13"/>
      <c r="R47" s="13"/>
      <c r="S47" s="13"/>
      <c r="T47" s="13"/>
      <c r="U47" s="13"/>
      <c r="V47" s="13"/>
    </row>
    <row r="48" spans="1:22" x14ac:dyDescent="0.25">
      <c r="A48" s="10" t="str">
        <f>$A$7</f>
        <v>Student services</v>
      </c>
      <c r="B48" s="75">
        <f t="shared" si="31"/>
        <v>30</v>
      </c>
      <c r="C48" s="21">
        <f>Staffing!B48+C27+(B48/B$55)*$H$43</f>
        <v>29.454545454545453</v>
      </c>
      <c r="D48" s="21">
        <f>Staffing!C48+D27+(C48/C$55)*$H$43</f>
        <v>31.909090909090907</v>
      </c>
      <c r="E48" s="21">
        <f>Staffing!D48+E27+(D48/D$55)*$H$43</f>
        <v>31.318181818181817</v>
      </c>
      <c r="F48" s="21">
        <f>Staffing!E48+F27+(E48/E$55)*$H$43</f>
        <v>30.727272727272727</v>
      </c>
      <c r="G48" s="21">
        <f>Staffing!F48+G27+(F48/F$55)*$H$43</f>
        <v>30.136363636363637</v>
      </c>
      <c r="H48" s="48"/>
      <c r="I48" s="75">
        <f t="shared" si="32"/>
        <v>20</v>
      </c>
      <c r="J48" s="21">
        <f>Staffing!I48+J27+(I48/I$55)*$O$43</f>
        <v>19.733333333333334</v>
      </c>
      <c r="K48" s="21">
        <f>Staffing!J48+K27+(J48/J$55)*$O$43</f>
        <v>19.466666666666669</v>
      </c>
      <c r="L48" s="21">
        <f>Staffing!K48+L27+(K48/K$55)*$O$43</f>
        <v>19.207111111111114</v>
      </c>
      <c r="M48" s="21">
        <f>Staffing!L48+M27+(L48/L$55)*$O$43</f>
        <v>18.94755555555556</v>
      </c>
      <c r="N48" s="21">
        <f>Staffing!M48+N27+(M48/M$55)*$O$43</f>
        <v>18.688000000000006</v>
      </c>
      <c r="O48" s="48"/>
      <c r="P48" s="13"/>
      <c r="Q48" s="13"/>
      <c r="R48" s="13"/>
      <c r="S48" s="13"/>
      <c r="T48" s="13"/>
      <c r="U48" s="13"/>
      <c r="V48" s="13"/>
    </row>
    <row r="49" spans="1:22" x14ac:dyDescent="0.25">
      <c r="A49" s="10" t="str">
        <f>$A$8</f>
        <v>Institutional support</v>
      </c>
      <c r="B49" s="75">
        <f t="shared" si="31"/>
        <v>20</v>
      </c>
      <c r="C49" s="21">
        <f>Staffing!B49+C28+(B49/B$55)*$H$43</f>
        <v>19.636363636363637</v>
      </c>
      <c r="D49" s="21">
        <f>Staffing!C49+D28+(C49/C$55)*$H$43</f>
        <v>19.272727272727273</v>
      </c>
      <c r="E49" s="21">
        <f>Staffing!D49+E28+(D49/D$55)*$H$43</f>
        <v>18.915824915824917</v>
      </c>
      <c r="F49" s="21">
        <f>Staffing!E49+F28+(E49/E$55)*$H$43</f>
        <v>18.558922558922561</v>
      </c>
      <c r="G49" s="21">
        <f>Staffing!F49+G28+(F49/F$55)*$H$43</f>
        <v>18.202020202020204</v>
      </c>
      <c r="H49" s="48"/>
      <c r="I49" s="75">
        <f t="shared" si="32"/>
        <v>5</v>
      </c>
      <c r="J49" s="21">
        <f>Staffing!I49+J28+(I49/I$55)*$O$43</f>
        <v>4.9333333333333336</v>
      </c>
      <c r="K49" s="21">
        <f>Staffing!J49+K28+(J49/J$55)*$O$43</f>
        <v>4.8666666666666671</v>
      </c>
      <c r="L49" s="21">
        <f>Staffing!K49+L28+(K49/K$55)*$O$43</f>
        <v>4.8017777777777786</v>
      </c>
      <c r="M49" s="21">
        <f>Staffing!L49+M28+(L49/L$55)*$O$43</f>
        <v>4.73688888888889</v>
      </c>
      <c r="N49" s="21">
        <f>Staffing!M49+N28+(M49/M$55)*$O$43</f>
        <v>4.6720000000000015</v>
      </c>
      <c r="O49" s="48"/>
      <c r="P49" s="13"/>
      <c r="Q49" s="13"/>
      <c r="R49" s="13"/>
      <c r="S49" s="13"/>
      <c r="T49" s="13"/>
      <c r="U49" s="13"/>
      <c r="V49" s="13"/>
    </row>
    <row r="50" spans="1:22" x14ac:dyDescent="0.25">
      <c r="A50" s="10" t="str">
        <f>$A$9</f>
        <v>Auxiliary enterprises</v>
      </c>
      <c r="B50" s="75">
        <f t="shared" si="31"/>
        <v>10</v>
      </c>
      <c r="C50" s="21">
        <f>Staffing!B50+C29+(B50/B$55)*$H$43</f>
        <v>9.8181818181818183</v>
      </c>
      <c r="D50" s="21">
        <f>Staffing!C50+D29+(C50/C$55)*$H$43</f>
        <v>9.6363636363636367</v>
      </c>
      <c r="E50" s="21">
        <f>Staffing!D50+E29+(D50/D$55)*$H$43</f>
        <v>9.4579124579124585</v>
      </c>
      <c r="F50" s="21">
        <f>Staffing!E50+F29+(E50/E$55)*$H$43</f>
        <v>9.2794612794612803</v>
      </c>
      <c r="G50" s="21">
        <f>Staffing!F50+G29+(F50/F$55)*$H$43</f>
        <v>9.1010101010101021</v>
      </c>
      <c r="H50" s="48"/>
      <c r="I50" s="75">
        <f t="shared" si="32"/>
        <v>20</v>
      </c>
      <c r="J50" s="21">
        <f>Staffing!I50+J29+(I50/I$55)*$O$43</f>
        <v>19.733333333333334</v>
      </c>
      <c r="K50" s="21">
        <f>Staffing!J50+K29+(J50/J$55)*$O$43</f>
        <v>19.466666666666669</v>
      </c>
      <c r="L50" s="21">
        <f>Staffing!K50+L29+(K50/K$55)*$O$43</f>
        <v>19.207111111111114</v>
      </c>
      <c r="M50" s="21">
        <f>Staffing!L50+M29+(L50/L$55)*$O$43</f>
        <v>18.94755555555556</v>
      </c>
      <c r="N50" s="21">
        <f>Staffing!M50+N29+(M50/M$55)*$O$43</f>
        <v>18.688000000000006</v>
      </c>
      <c r="O50" s="48"/>
      <c r="P50" s="13"/>
      <c r="Q50" s="13"/>
      <c r="R50" s="13"/>
      <c r="S50" s="13"/>
      <c r="T50" s="13"/>
      <c r="U50" s="13"/>
      <c r="V50" s="13"/>
    </row>
    <row r="51" spans="1:22" x14ac:dyDescent="0.25">
      <c r="A51" s="10" t="str">
        <f>$A$10</f>
        <v>Hospital services</v>
      </c>
      <c r="B51" s="75">
        <f t="shared" si="31"/>
        <v>0</v>
      </c>
      <c r="C51" s="21">
        <f>Staffing!B51+C30+(B51/B$55)*$H$43</f>
        <v>0</v>
      </c>
      <c r="D51" s="21">
        <f>Staffing!C51+D30+(C51/C$55)*$H$43</f>
        <v>0</v>
      </c>
      <c r="E51" s="21">
        <f>Staffing!D51+E30+(D51/D$55)*$H$43</f>
        <v>0</v>
      </c>
      <c r="F51" s="21">
        <f>Staffing!E51+F30+(E51/E$55)*$H$43</f>
        <v>0</v>
      </c>
      <c r="G51" s="21">
        <f>Staffing!F51+G30+(F51/F$55)*$H$43</f>
        <v>0</v>
      </c>
      <c r="H51" s="48"/>
      <c r="I51" s="75">
        <f t="shared" si="32"/>
        <v>0</v>
      </c>
      <c r="J51" s="21">
        <f>Staffing!I51+J30+(I51/I$55)*$O$43</f>
        <v>0</v>
      </c>
      <c r="K51" s="21">
        <f>Staffing!J51+K30+(J51/J$55)*$O$43</f>
        <v>0</v>
      </c>
      <c r="L51" s="21">
        <f>Staffing!K51+L30+(K51/K$55)*$O$43</f>
        <v>0</v>
      </c>
      <c r="M51" s="21">
        <f>Staffing!L51+M30+(L51/L$55)*$O$43</f>
        <v>0</v>
      </c>
      <c r="N51" s="21">
        <f>Staffing!M51+N30+(M51/M$55)*$O$43</f>
        <v>0</v>
      </c>
      <c r="O51" s="48"/>
      <c r="P51" s="13"/>
      <c r="Q51" s="13"/>
      <c r="R51" s="13"/>
      <c r="S51" s="13"/>
      <c r="T51" s="13"/>
      <c r="U51" s="13"/>
      <c r="V51" s="13"/>
    </row>
    <row r="52" spans="1:22" x14ac:dyDescent="0.25">
      <c r="A52" s="10" t="str">
        <f>$A$11</f>
        <v>Independent operatons</v>
      </c>
      <c r="B52" s="75">
        <f t="shared" si="31"/>
        <v>0</v>
      </c>
      <c r="C52" s="21">
        <f>Staffing!B52+C31+(B52/B$55)*$H$43</f>
        <v>0</v>
      </c>
      <c r="D52" s="21">
        <f>Staffing!C52+D31+(C52/C$55)*$H$43</f>
        <v>0</v>
      </c>
      <c r="E52" s="21">
        <f>Staffing!D52+E31+(D52/D$55)*$H$43</f>
        <v>0</v>
      </c>
      <c r="F52" s="21">
        <f>Staffing!E52+F31+(E52/E$55)*$H$43</f>
        <v>0</v>
      </c>
      <c r="G52" s="21">
        <f>Staffing!F52+G31+(F52/F$55)*$H$43</f>
        <v>0</v>
      </c>
      <c r="H52" s="48"/>
      <c r="I52" s="75">
        <f t="shared" si="32"/>
        <v>0</v>
      </c>
      <c r="J52" s="21">
        <f>Staffing!I52+J31+(I52/I$55)*$O$43</f>
        <v>0</v>
      </c>
      <c r="K52" s="21">
        <f>Staffing!J52+K31+(J52/J$55)*$O$43</f>
        <v>0</v>
      </c>
      <c r="L52" s="21">
        <f>Staffing!K52+L31+(K52/K$55)*$O$43</f>
        <v>0</v>
      </c>
      <c r="M52" s="21">
        <f>Staffing!L52+M31+(L52/L$55)*$O$43</f>
        <v>0</v>
      </c>
      <c r="N52" s="21">
        <f>Staffing!M52+N31+(M52/M$55)*$O$43</f>
        <v>0</v>
      </c>
      <c r="O52" s="48"/>
      <c r="P52" s="13"/>
      <c r="Q52" s="13"/>
      <c r="R52" s="13"/>
      <c r="S52" s="13"/>
      <c r="T52" s="13"/>
      <c r="U52" s="13"/>
      <c r="V52" s="13"/>
    </row>
    <row r="53" spans="1:22" x14ac:dyDescent="0.25">
      <c r="A53" s="10" t="str">
        <f>$A$12</f>
        <v>Other functional expenses and deductions</v>
      </c>
      <c r="B53" s="75">
        <f t="shared" si="31"/>
        <v>0</v>
      </c>
      <c r="C53" s="21">
        <f>Staffing!B53+C32+(B53/B$55)*$H$43</f>
        <v>0</v>
      </c>
      <c r="D53" s="21">
        <f>Staffing!C53+D32+(C53/C$55)*$H$43</f>
        <v>0</v>
      </c>
      <c r="E53" s="21">
        <f>Staffing!D53+E32+(D53/D$55)*$H$43</f>
        <v>0</v>
      </c>
      <c r="F53" s="21">
        <f>Staffing!E53+F32+(E53/E$55)*$H$43</f>
        <v>0</v>
      </c>
      <c r="G53" s="21">
        <f>Staffing!F53+G32+(F53/F$55)*$H$43</f>
        <v>0</v>
      </c>
      <c r="H53" s="48"/>
      <c r="I53" s="75">
        <f t="shared" si="32"/>
        <v>0</v>
      </c>
      <c r="J53" s="21">
        <f>Staffing!I53+J32+(I53/I$55)*$O$43</f>
        <v>0</v>
      </c>
      <c r="K53" s="21">
        <f>Staffing!J53+K32+(J53/J$55)*$O$43</f>
        <v>0</v>
      </c>
      <c r="L53" s="21">
        <f>Staffing!K53+L32+(K53/K$55)*$O$43</f>
        <v>0</v>
      </c>
      <c r="M53" s="21">
        <f>Staffing!L53+M32+(L53/L$55)*$O$43</f>
        <v>0</v>
      </c>
      <c r="N53" s="21">
        <f>Staffing!M53+N32+(M53/M$55)*$O$43</f>
        <v>0</v>
      </c>
      <c r="O53" s="48"/>
      <c r="P53" s="13"/>
      <c r="Q53" s="13"/>
      <c r="R53" s="13"/>
      <c r="S53" s="13"/>
      <c r="T53" s="13"/>
      <c r="U53" s="13"/>
      <c r="V53" s="13"/>
    </row>
    <row r="54" spans="1:22" x14ac:dyDescent="0.25">
      <c r="A54" s="10" t="str">
        <f>$A$13</f>
        <v>Plant Operations</v>
      </c>
      <c r="B54" s="206">
        <f t="shared" si="31"/>
        <v>20</v>
      </c>
      <c r="C54" s="5">
        <f>Staffing!B54+C33+(B54/B$55)*$H$43</f>
        <v>19.636363636363637</v>
      </c>
      <c r="D54" s="5">
        <f>Staffing!C54+D33+(C54/C$55)*$H$43</f>
        <v>19.272727272727273</v>
      </c>
      <c r="E54" s="5">
        <f>Staffing!D54+E33+(D54/D$55)*$H$43</f>
        <v>18.915824915824917</v>
      </c>
      <c r="F54" s="5">
        <f>Staffing!E54+F33+(E54/E$55)*$H$43</f>
        <v>18.558922558922561</v>
      </c>
      <c r="G54" s="5">
        <f>Staffing!F54+G33+(F54/F$55)*$H$43</f>
        <v>18.202020202020204</v>
      </c>
      <c r="H54" s="48"/>
      <c r="I54" s="206">
        <f t="shared" si="32"/>
        <v>5</v>
      </c>
      <c r="J54" s="5">
        <f>Staffing!I54+J33+(I54/I$55)*$O$43</f>
        <v>4.9333333333333336</v>
      </c>
      <c r="K54" s="5">
        <f>Staffing!J54+K33+(J54/J$55)*$O$43</f>
        <v>6.8666666666666671</v>
      </c>
      <c r="L54" s="5">
        <f>Staffing!K54+L33+(K54/K$55)*$O$43</f>
        <v>6.7751111111111113</v>
      </c>
      <c r="M54" s="5">
        <f>Staffing!L54+M33+(L54/L$55)*$O$43</f>
        <v>6.6835555555555555</v>
      </c>
      <c r="N54" s="5">
        <f>Staffing!M54+N33+(M54/M$55)*$O$43</f>
        <v>6.5919999999999996</v>
      </c>
      <c r="O54" s="48"/>
      <c r="P54" s="13"/>
      <c r="Q54" s="13"/>
      <c r="R54" s="13"/>
      <c r="S54" s="13"/>
      <c r="T54" s="13"/>
      <c r="U54" s="13"/>
      <c r="V54" s="13"/>
    </row>
    <row r="55" spans="1:22" ht="15.75" thickBot="1" x14ac:dyDescent="0.3">
      <c r="A55" s="10"/>
      <c r="B55" s="76">
        <f t="shared" ref="B55:G55" si="33">SUM(B44:B54)</f>
        <v>165</v>
      </c>
      <c r="C55" s="77">
        <f t="shared" si="33"/>
        <v>161.99999999999997</v>
      </c>
      <c r="D55" s="77">
        <f t="shared" si="33"/>
        <v>162</v>
      </c>
      <c r="E55" s="77">
        <f t="shared" si="33"/>
        <v>159.00000000000003</v>
      </c>
      <c r="F55" s="77">
        <f t="shared" si="33"/>
        <v>156</v>
      </c>
      <c r="G55" s="77">
        <f t="shared" si="33"/>
        <v>153.00000000000003</v>
      </c>
      <c r="H55" s="49"/>
      <c r="I55" s="76">
        <f t="shared" ref="I55:N55" si="34">SUM(I44:I54)</f>
        <v>75</v>
      </c>
      <c r="J55" s="77">
        <f t="shared" si="34"/>
        <v>74.000000000000014</v>
      </c>
      <c r="K55" s="77">
        <f t="shared" si="34"/>
        <v>75</v>
      </c>
      <c r="L55" s="77">
        <f t="shared" si="34"/>
        <v>74.000000000000014</v>
      </c>
      <c r="M55" s="77">
        <f t="shared" si="34"/>
        <v>73.000000000000028</v>
      </c>
      <c r="N55" s="77">
        <f t="shared" si="34"/>
        <v>72.000000000000028</v>
      </c>
      <c r="O55" s="49"/>
      <c r="P55" s="13"/>
      <c r="Q55" s="13"/>
      <c r="R55" s="13"/>
      <c r="S55" s="13"/>
      <c r="T55" s="13"/>
      <c r="U55" s="13"/>
      <c r="V55" s="13"/>
    </row>
    <row r="56" spans="1:22" x14ac:dyDescent="0.25">
      <c r="A56" s="10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</row>
    <row r="57" spans="1:22" x14ac:dyDescent="0.25">
      <c r="A57" s="10" t="s">
        <v>130</v>
      </c>
      <c r="B57" s="4">
        <f t="shared" ref="B57:G57" si="35">SUM(B37:B40)+SUM(I37:I40)</f>
        <v>150</v>
      </c>
      <c r="C57" s="4">
        <f t="shared" si="35"/>
        <v>155</v>
      </c>
      <c r="D57" s="4">
        <f t="shared" si="35"/>
        <v>160</v>
      </c>
      <c r="E57" s="4">
        <f t="shared" si="35"/>
        <v>165</v>
      </c>
      <c r="F57" s="4">
        <f t="shared" si="35"/>
        <v>174</v>
      </c>
      <c r="G57" s="4">
        <f t="shared" si="35"/>
        <v>175</v>
      </c>
      <c r="H57" s="83" t="s">
        <v>131</v>
      </c>
      <c r="I57" s="82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</row>
    <row r="58" spans="1:22" x14ac:dyDescent="0.25">
      <c r="A58" s="10" t="s">
        <v>132</v>
      </c>
      <c r="B58" s="4">
        <f t="shared" ref="B58:G58" si="36">B37+$H$58*I37</f>
        <v>126</v>
      </c>
      <c r="C58" s="4">
        <f t="shared" si="36"/>
        <v>125.4</v>
      </c>
      <c r="D58" s="4">
        <f t="shared" si="36"/>
        <v>124.8</v>
      </c>
      <c r="E58" s="4">
        <f t="shared" si="36"/>
        <v>124.2</v>
      </c>
      <c r="F58" s="4">
        <f t="shared" si="36"/>
        <v>127.6</v>
      </c>
      <c r="G58" s="4">
        <f t="shared" si="36"/>
        <v>123</v>
      </c>
      <c r="H58" s="3">
        <v>0.3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</row>
    <row r="59" spans="1:22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</row>
    <row r="60" spans="1:22" x14ac:dyDescent="0.25">
      <c r="A60" s="13"/>
      <c r="B60" s="13"/>
      <c r="C60" s="13"/>
      <c r="D60" s="13"/>
      <c r="E60" s="12" t="s">
        <v>62</v>
      </c>
      <c r="F60" s="13"/>
      <c r="G60" s="8"/>
      <c r="H60" s="12" t="s">
        <v>34</v>
      </c>
      <c r="I60" s="8"/>
      <c r="J60" s="13"/>
      <c r="K60" s="13"/>
      <c r="L60" s="9" t="s">
        <v>45</v>
      </c>
      <c r="M60" s="13"/>
      <c r="N60" s="8"/>
      <c r="O60" s="12" t="s">
        <v>34</v>
      </c>
      <c r="P60" s="8"/>
      <c r="Q60" s="13"/>
      <c r="R60" s="13"/>
      <c r="S60" s="13"/>
      <c r="T60" s="13"/>
      <c r="U60" s="13"/>
      <c r="V60" s="13"/>
    </row>
    <row r="61" spans="1:22" x14ac:dyDescent="0.25">
      <c r="A61" s="19" t="s">
        <v>18</v>
      </c>
      <c r="B61" s="138">
        <f>Summary!$B$31+1</f>
        <v>2022</v>
      </c>
      <c r="C61" s="138">
        <f>B61+1</f>
        <v>2023</v>
      </c>
      <c r="D61" s="138">
        <f t="shared" ref="D61:F61" si="37">C61+1</f>
        <v>2024</v>
      </c>
      <c r="E61" s="138">
        <f t="shared" si="37"/>
        <v>2025</v>
      </c>
      <c r="F61" s="138">
        <f t="shared" si="37"/>
        <v>2026</v>
      </c>
      <c r="G61" s="138">
        <f>F61+1</f>
        <v>2027</v>
      </c>
      <c r="H61" s="30"/>
      <c r="I61" s="138">
        <f>Summary!$B$31+1</f>
        <v>2022</v>
      </c>
      <c r="J61" s="138">
        <f>I61+1</f>
        <v>2023</v>
      </c>
      <c r="K61" s="138">
        <f t="shared" ref="K61" si="38">J61+1</f>
        <v>2024</v>
      </c>
      <c r="L61" s="138">
        <f t="shared" ref="L61" si="39">K61+1</f>
        <v>2025</v>
      </c>
      <c r="M61" s="138">
        <f t="shared" ref="M61" si="40">L61+1</f>
        <v>2026</v>
      </c>
      <c r="N61" s="138">
        <f>M61+1</f>
        <v>2027</v>
      </c>
      <c r="O61" s="30"/>
      <c r="P61" s="13"/>
      <c r="Q61" s="13"/>
      <c r="R61" s="13"/>
      <c r="S61" s="13"/>
      <c r="T61" s="13"/>
      <c r="U61" s="13"/>
      <c r="V61" s="13"/>
    </row>
    <row r="62" spans="1:22" x14ac:dyDescent="0.25">
      <c r="A62" s="10" t="str">
        <f>$A$3</f>
        <v>Instruction</v>
      </c>
      <c r="B62" s="6">
        <f>C3</f>
        <v>100000</v>
      </c>
      <c r="C62" s="6">
        <f t="shared" ref="C62:G65" si="41">B62*(1+$O$3+$H$62)</f>
        <v>103000</v>
      </c>
      <c r="D62" s="6">
        <f t="shared" si="41"/>
        <v>106090</v>
      </c>
      <c r="E62" s="6">
        <f t="shared" si="41"/>
        <v>109272.7</v>
      </c>
      <c r="F62" s="6">
        <f t="shared" si="41"/>
        <v>112550.88099999999</v>
      </c>
      <c r="G62" s="6">
        <f t="shared" si="41"/>
        <v>115927.40742999999</v>
      </c>
      <c r="H62" s="166">
        <f>Summary!B12</f>
        <v>0.01</v>
      </c>
      <c r="I62" s="6">
        <f>J3</f>
        <v>15000</v>
      </c>
      <c r="J62" s="6">
        <f t="shared" ref="J62:N65" si="42">I62*(1+$O$3+$O$62)</f>
        <v>15450</v>
      </c>
      <c r="K62" s="6">
        <f t="shared" si="42"/>
        <v>15913.5</v>
      </c>
      <c r="L62" s="6">
        <f t="shared" si="42"/>
        <v>16390.904999999999</v>
      </c>
      <c r="M62" s="6">
        <f t="shared" si="42"/>
        <v>16882.632149999998</v>
      </c>
      <c r="N62" s="6">
        <f t="shared" si="42"/>
        <v>17389.1111145</v>
      </c>
      <c r="O62" s="166">
        <f>Summary!B14</f>
        <v>0.01</v>
      </c>
      <c r="P62" s="13"/>
      <c r="Q62" s="13"/>
      <c r="R62" s="13"/>
      <c r="S62" s="13"/>
      <c r="T62" s="13"/>
      <c r="U62" s="13"/>
      <c r="V62" s="13"/>
    </row>
    <row r="63" spans="1:22" x14ac:dyDescent="0.25">
      <c r="A63" s="10" t="str">
        <f>$A$4</f>
        <v>Research</v>
      </c>
      <c r="B63" s="6">
        <f>C4</f>
        <v>100000</v>
      </c>
      <c r="C63" s="6">
        <f t="shared" si="41"/>
        <v>103000</v>
      </c>
      <c r="D63" s="6">
        <f t="shared" si="41"/>
        <v>106090</v>
      </c>
      <c r="E63" s="6">
        <f t="shared" si="41"/>
        <v>109272.7</v>
      </c>
      <c r="F63" s="6">
        <f t="shared" si="41"/>
        <v>112550.88099999999</v>
      </c>
      <c r="G63" s="6">
        <f t="shared" si="41"/>
        <v>115927.40742999999</v>
      </c>
      <c r="H63" s="13"/>
      <c r="I63" s="6">
        <f>J4</f>
        <v>15000</v>
      </c>
      <c r="J63" s="6">
        <f t="shared" si="42"/>
        <v>15450</v>
      </c>
      <c r="K63" s="6">
        <f t="shared" si="42"/>
        <v>15913.5</v>
      </c>
      <c r="L63" s="6">
        <f t="shared" si="42"/>
        <v>16390.904999999999</v>
      </c>
      <c r="M63" s="6">
        <f t="shared" si="42"/>
        <v>16882.632149999998</v>
      </c>
      <c r="N63" s="6">
        <f t="shared" si="42"/>
        <v>17389.1111145</v>
      </c>
      <c r="O63" s="88"/>
      <c r="P63" s="13"/>
      <c r="Q63" s="13"/>
      <c r="R63" s="13"/>
      <c r="S63" s="13"/>
      <c r="T63" s="13"/>
      <c r="U63" s="13"/>
      <c r="V63" s="13"/>
    </row>
    <row r="64" spans="1:22" x14ac:dyDescent="0.25">
      <c r="A64" s="10" t="str">
        <f>$A$5</f>
        <v>Public service</v>
      </c>
      <c r="B64" s="6">
        <f>C5</f>
        <v>100000</v>
      </c>
      <c r="C64" s="6">
        <f t="shared" si="41"/>
        <v>103000</v>
      </c>
      <c r="D64" s="6">
        <f t="shared" si="41"/>
        <v>106090</v>
      </c>
      <c r="E64" s="6">
        <f t="shared" si="41"/>
        <v>109272.7</v>
      </c>
      <c r="F64" s="6">
        <f t="shared" si="41"/>
        <v>112550.88099999999</v>
      </c>
      <c r="G64" s="6">
        <f t="shared" si="41"/>
        <v>115927.40742999999</v>
      </c>
      <c r="H64" s="13"/>
      <c r="I64" s="6">
        <f>J5</f>
        <v>15000</v>
      </c>
      <c r="J64" s="6">
        <f t="shared" si="42"/>
        <v>15450</v>
      </c>
      <c r="K64" s="6">
        <f t="shared" si="42"/>
        <v>15913.5</v>
      </c>
      <c r="L64" s="6">
        <f t="shared" si="42"/>
        <v>16390.904999999999</v>
      </c>
      <c r="M64" s="6">
        <f t="shared" si="42"/>
        <v>16882.632149999998</v>
      </c>
      <c r="N64" s="6">
        <f t="shared" si="42"/>
        <v>17389.1111145</v>
      </c>
      <c r="O64" s="13"/>
      <c r="P64" s="13"/>
      <c r="Q64" s="13"/>
      <c r="R64" s="13"/>
      <c r="S64" s="13"/>
      <c r="T64" s="13"/>
      <c r="U64" s="13"/>
      <c r="V64" s="13"/>
    </row>
    <row r="65" spans="1:22" x14ac:dyDescent="0.25">
      <c r="A65" s="10" t="str">
        <f>$A$6</f>
        <v>Academic support</v>
      </c>
      <c r="B65" s="6">
        <f>C6</f>
        <v>100000</v>
      </c>
      <c r="C65" s="6">
        <f t="shared" si="41"/>
        <v>103000</v>
      </c>
      <c r="D65" s="6">
        <f t="shared" si="41"/>
        <v>106090</v>
      </c>
      <c r="E65" s="6">
        <f t="shared" si="41"/>
        <v>109272.7</v>
      </c>
      <c r="F65" s="6">
        <f t="shared" si="41"/>
        <v>112550.88099999999</v>
      </c>
      <c r="G65" s="6">
        <f t="shared" si="41"/>
        <v>115927.40742999999</v>
      </c>
      <c r="H65" s="13"/>
      <c r="I65" s="6">
        <f>J6</f>
        <v>15000</v>
      </c>
      <c r="J65" s="6">
        <f t="shared" si="42"/>
        <v>15450</v>
      </c>
      <c r="K65" s="6">
        <f t="shared" si="42"/>
        <v>15913.5</v>
      </c>
      <c r="L65" s="6">
        <f t="shared" si="42"/>
        <v>16390.904999999999</v>
      </c>
      <c r="M65" s="6">
        <f t="shared" si="42"/>
        <v>16882.632149999998</v>
      </c>
      <c r="N65" s="6">
        <f t="shared" si="42"/>
        <v>17389.1111145</v>
      </c>
      <c r="O65" s="13"/>
      <c r="P65" s="13"/>
      <c r="Q65" s="13"/>
      <c r="R65" s="13"/>
      <c r="S65" s="13"/>
      <c r="T65" s="13"/>
      <c r="U65" s="13"/>
      <c r="V65" s="13"/>
    </row>
    <row r="66" spans="1:22" x14ac:dyDescent="0.25">
      <c r="A66" s="13"/>
      <c r="B66" s="13"/>
      <c r="C66" s="13"/>
      <c r="D66" s="13"/>
      <c r="E66" s="13"/>
      <c r="F66" s="13"/>
      <c r="G66" s="8"/>
      <c r="H66" s="12" t="s">
        <v>34</v>
      </c>
      <c r="I66" s="8"/>
      <c r="J66" s="13"/>
      <c r="K66" s="13"/>
      <c r="L66" s="13"/>
      <c r="M66" s="13"/>
      <c r="N66" s="8"/>
      <c r="O66" s="12" t="s">
        <v>34</v>
      </c>
      <c r="P66" s="8"/>
      <c r="Q66" s="13"/>
      <c r="R66" s="13"/>
      <c r="S66" s="13"/>
      <c r="T66" s="13"/>
      <c r="U66" s="13"/>
      <c r="V66" s="13"/>
    </row>
    <row r="67" spans="1:22" x14ac:dyDescent="0.25">
      <c r="A67" s="19" t="s">
        <v>19</v>
      </c>
      <c r="B67" s="138">
        <f>Summary!$B$31+1</f>
        <v>2022</v>
      </c>
      <c r="C67" s="138">
        <f>B67+1</f>
        <v>2023</v>
      </c>
      <c r="D67" s="138">
        <f t="shared" ref="D67:F67" si="43">C67+1</f>
        <v>2024</v>
      </c>
      <c r="E67" s="138">
        <f t="shared" si="43"/>
        <v>2025</v>
      </c>
      <c r="F67" s="138">
        <f t="shared" si="43"/>
        <v>2026</v>
      </c>
      <c r="G67" s="138">
        <f>F67+1</f>
        <v>2027</v>
      </c>
      <c r="H67" s="68"/>
      <c r="I67" s="138">
        <f>Summary!$B$31+1</f>
        <v>2022</v>
      </c>
      <c r="J67" s="138">
        <f>I67+1</f>
        <v>2023</v>
      </c>
      <c r="K67" s="138">
        <f t="shared" ref="K67" si="44">J67+1</f>
        <v>2024</v>
      </c>
      <c r="L67" s="138">
        <f t="shared" ref="L67" si="45">K67+1</f>
        <v>2025</v>
      </c>
      <c r="M67" s="138">
        <f t="shared" ref="M67" si="46">L67+1</f>
        <v>2026</v>
      </c>
      <c r="N67" s="138">
        <f>M67+1</f>
        <v>2027</v>
      </c>
      <c r="O67" s="68"/>
      <c r="P67" s="13"/>
      <c r="Q67" s="13"/>
      <c r="R67" s="13"/>
      <c r="S67" s="13"/>
      <c r="T67" s="13"/>
      <c r="U67" s="13"/>
      <c r="V67" s="13"/>
    </row>
    <row r="68" spans="1:22" x14ac:dyDescent="0.25">
      <c r="A68" s="10" t="str">
        <f>$A$3</f>
        <v>Instruction</v>
      </c>
      <c r="B68" s="6">
        <f t="shared" ref="B68:B78" si="47">F3</f>
        <v>60000</v>
      </c>
      <c r="C68" s="6">
        <f t="shared" ref="C68:G78" si="48">B68*(1+$H$68+$O$3)</f>
        <v>61200</v>
      </c>
      <c r="D68" s="6">
        <f t="shared" si="48"/>
        <v>62424</v>
      </c>
      <c r="E68" s="6">
        <f t="shared" si="48"/>
        <v>63672.480000000003</v>
      </c>
      <c r="F68" s="6">
        <f t="shared" si="48"/>
        <v>64945.929600000003</v>
      </c>
      <c r="G68" s="6">
        <f t="shared" si="48"/>
        <v>66244.848192000005</v>
      </c>
      <c r="H68" s="166">
        <f>Summary!B13</f>
        <v>0</v>
      </c>
      <c r="I68" s="6">
        <f t="shared" ref="I68:I78" si="49">M3</f>
        <v>18000</v>
      </c>
      <c r="J68" s="6">
        <f t="shared" ref="J68:N78" si="50">I68*(1+$O$68+$O$3)</f>
        <v>18540</v>
      </c>
      <c r="K68" s="6">
        <f t="shared" si="50"/>
        <v>19096.2</v>
      </c>
      <c r="L68" s="6">
        <f t="shared" si="50"/>
        <v>19669.086000000003</v>
      </c>
      <c r="M68" s="6">
        <f t="shared" si="50"/>
        <v>20259.158580000003</v>
      </c>
      <c r="N68" s="6">
        <f t="shared" si="50"/>
        <v>20866.933337400005</v>
      </c>
      <c r="O68" s="166">
        <f>Summary!B15</f>
        <v>0.01</v>
      </c>
      <c r="P68" s="13"/>
      <c r="Q68" s="13"/>
      <c r="R68" s="13"/>
      <c r="S68" s="13"/>
      <c r="T68" s="13"/>
      <c r="U68" s="13"/>
      <c r="V68" s="13"/>
    </row>
    <row r="69" spans="1:22" x14ac:dyDescent="0.25">
      <c r="A69" s="10" t="str">
        <f>$A$4</f>
        <v>Research</v>
      </c>
      <c r="B69" s="6">
        <f t="shared" si="47"/>
        <v>60000</v>
      </c>
      <c r="C69" s="6">
        <f t="shared" si="48"/>
        <v>61200</v>
      </c>
      <c r="D69" s="6">
        <f t="shared" si="48"/>
        <v>62424</v>
      </c>
      <c r="E69" s="6">
        <f t="shared" si="48"/>
        <v>63672.480000000003</v>
      </c>
      <c r="F69" s="6">
        <f t="shared" si="48"/>
        <v>64945.929600000003</v>
      </c>
      <c r="G69" s="6">
        <f t="shared" si="48"/>
        <v>66244.848192000005</v>
      </c>
      <c r="H69" s="13"/>
      <c r="I69" s="6">
        <f t="shared" si="49"/>
        <v>18000</v>
      </c>
      <c r="J69" s="6">
        <f t="shared" si="50"/>
        <v>18540</v>
      </c>
      <c r="K69" s="6">
        <f t="shared" si="50"/>
        <v>19096.2</v>
      </c>
      <c r="L69" s="6">
        <f t="shared" si="50"/>
        <v>19669.086000000003</v>
      </c>
      <c r="M69" s="6">
        <f t="shared" si="50"/>
        <v>20259.158580000003</v>
      </c>
      <c r="N69" s="6">
        <f t="shared" si="50"/>
        <v>20866.933337400005</v>
      </c>
      <c r="O69" s="13"/>
      <c r="P69" s="13"/>
      <c r="Q69" s="13"/>
      <c r="R69" s="13"/>
      <c r="S69" s="13"/>
      <c r="T69" s="13"/>
      <c r="U69" s="13"/>
      <c r="V69" s="13"/>
    </row>
    <row r="70" spans="1:22" x14ac:dyDescent="0.25">
      <c r="A70" s="10" t="str">
        <f>$A$5</f>
        <v>Public service</v>
      </c>
      <c r="B70" s="6">
        <f t="shared" si="47"/>
        <v>60000</v>
      </c>
      <c r="C70" s="6">
        <f t="shared" si="48"/>
        <v>61200</v>
      </c>
      <c r="D70" s="6">
        <f t="shared" si="48"/>
        <v>62424</v>
      </c>
      <c r="E70" s="6">
        <f t="shared" si="48"/>
        <v>63672.480000000003</v>
      </c>
      <c r="F70" s="6">
        <f t="shared" si="48"/>
        <v>64945.929600000003</v>
      </c>
      <c r="G70" s="6">
        <f t="shared" si="48"/>
        <v>66244.848192000005</v>
      </c>
      <c r="H70" s="13"/>
      <c r="I70" s="6">
        <f t="shared" si="49"/>
        <v>18000</v>
      </c>
      <c r="J70" s="6">
        <f t="shared" si="50"/>
        <v>18540</v>
      </c>
      <c r="K70" s="6">
        <f t="shared" si="50"/>
        <v>19096.2</v>
      </c>
      <c r="L70" s="6">
        <f t="shared" si="50"/>
        <v>19669.086000000003</v>
      </c>
      <c r="M70" s="6">
        <f t="shared" si="50"/>
        <v>20259.158580000003</v>
      </c>
      <c r="N70" s="6">
        <f t="shared" si="50"/>
        <v>20866.933337400005</v>
      </c>
      <c r="O70" s="13"/>
      <c r="P70" s="13"/>
      <c r="Q70" s="13"/>
      <c r="R70" s="13"/>
      <c r="S70" s="13"/>
      <c r="T70" s="13"/>
      <c r="U70" s="13"/>
      <c r="V70" s="13"/>
    </row>
    <row r="71" spans="1:22" x14ac:dyDescent="0.25">
      <c r="A71" s="10" t="str">
        <f>$A$6</f>
        <v>Academic support</v>
      </c>
      <c r="B71" s="6">
        <f t="shared" si="47"/>
        <v>60000</v>
      </c>
      <c r="C71" s="6">
        <f t="shared" si="48"/>
        <v>61200</v>
      </c>
      <c r="D71" s="6">
        <f t="shared" si="48"/>
        <v>62424</v>
      </c>
      <c r="E71" s="6">
        <f t="shared" si="48"/>
        <v>63672.480000000003</v>
      </c>
      <c r="F71" s="6">
        <f t="shared" si="48"/>
        <v>64945.929600000003</v>
      </c>
      <c r="G71" s="6">
        <f t="shared" si="48"/>
        <v>66244.848192000005</v>
      </c>
      <c r="H71" s="13"/>
      <c r="I71" s="6">
        <f t="shared" si="49"/>
        <v>18000</v>
      </c>
      <c r="J71" s="6">
        <f t="shared" si="50"/>
        <v>18540</v>
      </c>
      <c r="K71" s="6">
        <f t="shared" si="50"/>
        <v>19096.2</v>
      </c>
      <c r="L71" s="6">
        <f t="shared" si="50"/>
        <v>19669.086000000003</v>
      </c>
      <c r="M71" s="6">
        <f t="shared" si="50"/>
        <v>20259.158580000003</v>
      </c>
      <c r="N71" s="6">
        <f t="shared" si="50"/>
        <v>20866.933337400005</v>
      </c>
      <c r="O71" s="13"/>
      <c r="P71" s="13"/>
      <c r="Q71" s="13"/>
      <c r="R71" s="13"/>
      <c r="S71" s="13"/>
      <c r="T71" s="13"/>
      <c r="U71" s="13"/>
      <c r="V71" s="13"/>
    </row>
    <row r="72" spans="1:22" x14ac:dyDescent="0.25">
      <c r="A72" s="10" t="str">
        <f>$A$7</f>
        <v>Student services</v>
      </c>
      <c r="B72" s="6">
        <f t="shared" si="47"/>
        <v>60000</v>
      </c>
      <c r="C72" s="6">
        <f t="shared" si="48"/>
        <v>61200</v>
      </c>
      <c r="D72" s="6">
        <f t="shared" si="48"/>
        <v>62424</v>
      </c>
      <c r="E72" s="6">
        <f t="shared" si="48"/>
        <v>63672.480000000003</v>
      </c>
      <c r="F72" s="6">
        <f t="shared" si="48"/>
        <v>64945.929600000003</v>
      </c>
      <c r="G72" s="6">
        <f t="shared" si="48"/>
        <v>66244.848192000005</v>
      </c>
      <c r="H72" s="13"/>
      <c r="I72" s="6">
        <f t="shared" si="49"/>
        <v>18000</v>
      </c>
      <c r="J72" s="6">
        <f t="shared" si="50"/>
        <v>18540</v>
      </c>
      <c r="K72" s="6">
        <f t="shared" si="50"/>
        <v>19096.2</v>
      </c>
      <c r="L72" s="6">
        <f t="shared" si="50"/>
        <v>19669.086000000003</v>
      </c>
      <c r="M72" s="6">
        <f t="shared" si="50"/>
        <v>20259.158580000003</v>
      </c>
      <c r="N72" s="6">
        <f t="shared" si="50"/>
        <v>20866.933337400005</v>
      </c>
      <c r="O72" s="13"/>
      <c r="P72" s="13"/>
      <c r="Q72" s="13"/>
      <c r="R72" s="13"/>
      <c r="S72" s="13"/>
      <c r="T72" s="13"/>
      <c r="U72" s="13"/>
      <c r="V72" s="13"/>
    </row>
    <row r="73" spans="1:22" x14ac:dyDescent="0.25">
      <c r="A73" s="10" t="str">
        <f>$A$8</f>
        <v>Institutional support</v>
      </c>
      <c r="B73" s="6">
        <f t="shared" si="47"/>
        <v>60000</v>
      </c>
      <c r="C73" s="6">
        <f t="shared" si="48"/>
        <v>61200</v>
      </c>
      <c r="D73" s="6">
        <f t="shared" si="48"/>
        <v>62424</v>
      </c>
      <c r="E73" s="6">
        <f t="shared" si="48"/>
        <v>63672.480000000003</v>
      </c>
      <c r="F73" s="6">
        <f t="shared" si="48"/>
        <v>64945.929600000003</v>
      </c>
      <c r="G73" s="6">
        <f t="shared" si="48"/>
        <v>66244.848192000005</v>
      </c>
      <c r="H73" s="13"/>
      <c r="I73" s="6">
        <f t="shared" si="49"/>
        <v>18000</v>
      </c>
      <c r="J73" s="6">
        <f t="shared" si="50"/>
        <v>18540</v>
      </c>
      <c r="K73" s="6">
        <f t="shared" si="50"/>
        <v>19096.2</v>
      </c>
      <c r="L73" s="6">
        <f t="shared" si="50"/>
        <v>19669.086000000003</v>
      </c>
      <c r="M73" s="6">
        <f t="shared" si="50"/>
        <v>20259.158580000003</v>
      </c>
      <c r="N73" s="6">
        <f t="shared" si="50"/>
        <v>20866.933337400005</v>
      </c>
      <c r="O73" s="13"/>
      <c r="P73" s="13"/>
      <c r="Q73" s="13"/>
      <c r="R73" s="13"/>
      <c r="S73" s="13"/>
      <c r="T73" s="13"/>
      <c r="U73" s="13"/>
      <c r="V73" s="13"/>
    </row>
    <row r="74" spans="1:22" x14ac:dyDescent="0.25">
      <c r="A74" s="10" t="str">
        <f>$A$9</f>
        <v>Auxiliary enterprises</v>
      </c>
      <c r="B74" s="6">
        <f t="shared" si="47"/>
        <v>60000</v>
      </c>
      <c r="C74" s="6">
        <f t="shared" si="48"/>
        <v>61200</v>
      </c>
      <c r="D74" s="6">
        <f t="shared" si="48"/>
        <v>62424</v>
      </c>
      <c r="E74" s="6">
        <f t="shared" si="48"/>
        <v>63672.480000000003</v>
      </c>
      <c r="F74" s="6">
        <f t="shared" si="48"/>
        <v>64945.929600000003</v>
      </c>
      <c r="G74" s="6">
        <f t="shared" si="48"/>
        <v>66244.848192000005</v>
      </c>
      <c r="H74" s="13"/>
      <c r="I74" s="6">
        <f t="shared" si="49"/>
        <v>18000</v>
      </c>
      <c r="J74" s="6">
        <f t="shared" si="50"/>
        <v>18540</v>
      </c>
      <c r="K74" s="6">
        <f t="shared" si="50"/>
        <v>19096.2</v>
      </c>
      <c r="L74" s="6">
        <f t="shared" si="50"/>
        <v>19669.086000000003</v>
      </c>
      <c r="M74" s="6">
        <f t="shared" si="50"/>
        <v>20259.158580000003</v>
      </c>
      <c r="N74" s="6">
        <f t="shared" si="50"/>
        <v>20866.933337400005</v>
      </c>
      <c r="O74" s="13"/>
      <c r="P74" s="13"/>
      <c r="Q74" s="13"/>
      <c r="R74" s="13"/>
      <c r="S74" s="13"/>
      <c r="T74" s="13"/>
      <c r="U74" s="13"/>
      <c r="V74" s="13"/>
    </row>
    <row r="75" spans="1:22" x14ac:dyDescent="0.25">
      <c r="A75" s="10" t="str">
        <f>$A$10</f>
        <v>Hospital services</v>
      </c>
      <c r="B75" s="6">
        <f t="shared" si="47"/>
        <v>60000</v>
      </c>
      <c r="C75" s="6">
        <f t="shared" si="48"/>
        <v>61200</v>
      </c>
      <c r="D75" s="6">
        <f t="shared" si="48"/>
        <v>62424</v>
      </c>
      <c r="E75" s="6">
        <f t="shared" si="48"/>
        <v>63672.480000000003</v>
      </c>
      <c r="F75" s="6">
        <f t="shared" si="48"/>
        <v>64945.929600000003</v>
      </c>
      <c r="G75" s="6">
        <f t="shared" si="48"/>
        <v>66244.848192000005</v>
      </c>
      <c r="H75" s="13"/>
      <c r="I75" s="6">
        <f t="shared" si="49"/>
        <v>18000</v>
      </c>
      <c r="J75" s="6">
        <f t="shared" si="50"/>
        <v>18540</v>
      </c>
      <c r="K75" s="6">
        <f t="shared" si="50"/>
        <v>19096.2</v>
      </c>
      <c r="L75" s="6">
        <f t="shared" si="50"/>
        <v>19669.086000000003</v>
      </c>
      <c r="M75" s="6">
        <f t="shared" si="50"/>
        <v>20259.158580000003</v>
      </c>
      <c r="N75" s="6">
        <f t="shared" si="50"/>
        <v>20866.933337400005</v>
      </c>
      <c r="O75" s="13"/>
      <c r="P75" s="13"/>
      <c r="Q75" s="13"/>
      <c r="R75" s="13"/>
      <c r="S75" s="13"/>
      <c r="T75" s="13"/>
      <c r="U75" s="13"/>
      <c r="V75" s="13"/>
    </row>
    <row r="76" spans="1:22" x14ac:dyDescent="0.25">
      <c r="A76" s="10" t="str">
        <f>$A$11</f>
        <v>Independent operatons</v>
      </c>
      <c r="B76" s="6">
        <f t="shared" si="47"/>
        <v>60000</v>
      </c>
      <c r="C76" s="6">
        <f t="shared" si="48"/>
        <v>61200</v>
      </c>
      <c r="D76" s="6">
        <f t="shared" si="48"/>
        <v>62424</v>
      </c>
      <c r="E76" s="6">
        <f t="shared" si="48"/>
        <v>63672.480000000003</v>
      </c>
      <c r="F76" s="6">
        <f t="shared" si="48"/>
        <v>64945.929600000003</v>
      </c>
      <c r="G76" s="6">
        <f t="shared" si="48"/>
        <v>66244.848192000005</v>
      </c>
      <c r="H76" s="13"/>
      <c r="I76" s="6">
        <f t="shared" si="49"/>
        <v>18000</v>
      </c>
      <c r="J76" s="6">
        <f t="shared" si="50"/>
        <v>18540</v>
      </c>
      <c r="K76" s="6">
        <f t="shared" si="50"/>
        <v>19096.2</v>
      </c>
      <c r="L76" s="6">
        <f t="shared" si="50"/>
        <v>19669.086000000003</v>
      </c>
      <c r="M76" s="6">
        <f t="shared" si="50"/>
        <v>20259.158580000003</v>
      </c>
      <c r="N76" s="6">
        <f t="shared" si="50"/>
        <v>20866.933337400005</v>
      </c>
      <c r="O76" s="13"/>
      <c r="P76" s="13"/>
      <c r="Q76" s="13"/>
      <c r="R76" s="13"/>
      <c r="S76" s="13"/>
      <c r="T76" s="13"/>
      <c r="U76" s="13"/>
      <c r="V76" s="13"/>
    </row>
    <row r="77" spans="1:22" x14ac:dyDescent="0.25">
      <c r="A77" s="10" t="str">
        <f>$A$12</f>
        <v>Other functional expenses and deductions</v>
      </c>
      <c r="B77" s="6">
        <f t="shared" si="47"/>
        <v>60000</v>
      </c>
      <c r="C77" s="6">
        <f t="shared" si="48"/>
        <v>61200</v>
      </c>
      <c r="D77" s="6">
        <f t="shared" si="48"/>
        <v>62424</v>
      </c>
      <c r="E77" s="6">
        <f t="shared" si="48"/>
        <v>63672.480000000003</v>
      </c>
      <c r="F77" s="6">
        <f t="shared" si="48"/>
        <v>64945.929600000003</v>
      </c>
      <c r="G77" s="6">
        <f t="shared" si="48"/>
        <v>66244.848192000005</v>
      </c>
      <c r="H77" s="13"/>
      <c r="I77" s="6">
        <f t="shared" si="49"/>
        <v>18000</v>
      </c>
      <c r="J77" s="6">
        <f t="shared" si="50"/>
        <v>18540</v>
      </c>
      <c r="K77" s="6">
        <f t="shared" si="50"/>
        <v>19096.2</v>
      </c>
      <c r="L77" s="6">
        <f t="shared" si="50"/>
        <v>19669.086000000003</v>
      </c>
      <c r="M77" s="6">
        <f t="shared" si="50"/>
        <v>20259.158580000003</v>
      </c>
      <c r="N77" s="6">
        <f t="shared" si="50"/>
        <v>20866.933337400005</v>
      </c>
      <c r="O77" s="13"/>
      <c r="P77" s="13"/>
      <c r="Q77" s="13"/>
      <c r="R77" s="13"/>
      <c r="S77" s="13"/>
      <c r="T77" s="13"/>
      <c r="U77" s="13"/>
      <c r="V77" s="13"/>
    </row>
    <row r="78" spans="1:22" x14ac:dyDescent="0.25">
      <c r="A78" s="10" t="str">
        <f>$A$13</f>
        <v>Plant Operations</v>
      </c>
      <c r="B78" s="6">
        <f t="shared" si="47"/>
        <v>60000</v>
      </c>
      <c r="C78" s="6">
        <f t="shared" si="48"/>
        <v>61200</v>
      </c>
      <c r="D78" s="6">
        <f t="shared" si="48"/>
        <v>62424</v>
      </c>
      <c r="E78" s="6">
        <f t="shared" si="48"/>
        <v>63672.480000000003</v>
      </c>
      <c r="F78" s="6">
        <f t="shared" si="48"/>
        <v>64945.929600000003</v>
      </c>
      <c r="G78" s="6">
        <f t="shared" si="48"/>
        <v>66244.848192000005</v>
      </c>
      <c r="H78" s="13"/>
      <c r="I78" s="6">
        <f t="shared" si="49"/>
        <v>18000</v>
      </c>
      <c r="J78" s="6">
        <f t="shared" si="50"/>
        <v>18540</v>
      </c>
      <c r="K78" s="6">
        <f t="shared" si="50"/>
        <v>19096.2</v>
      </c>
      <c r="L78" s="6">
        <f t="shared" si="50"/>
        <v>19669.086000000003</v>
      </c>
      <c r="M78" s="6">
        <f t="shared" si="50"/>
        <v>20259.158580000003</v>
      </c>
      <c r="N78" s="6">
        <f t="shared" si="50"/>
        <v>20866.933337400005</v>
      </c>
      <c r="O78" s="13"/>
      <c r="P78" s="13"/>
      <c r="Q78" s="13"/>
      <c r="R78" s="13"/>
      <c r="S78" s="13"/>
      <c r="T78" s="13"/>
      <c r="U78" s="13"/>
      <c r="V78" s="13"/>
    </row>
    <row r="79" spans="1:22" x14ac:dyDescent="0.25">
      <c r="A79" s="16"/>
      <c r="B79" s="16"/>
      <c r="C79" s="16"/>
      <c r="D79" s="16"/>
      <c r="E79" s="16"/>
      <c r="F79" s="16"/>
      <c r="G79" s="16"/>
      <c r="H79" s="13"/>
      <c r="I79" s="16"/>
      <c r="J79" s="16"/>
      <c r="K79" s="16"/>
      <c r="L79" s="16"/>
      <c r="M79" s="16"/>
      <c r="N79" s="16"/>
      <c r="O79" s="13"/>
      <c r="P79" s="13"/>
      <c r="Q79" s="13"/>
      <c r="R79" s="13"/>
      <c r="S79" s="13"/>
      <c r="T79" s="13"/>
      <c r="U79" s="13"/>
      <c r="V79" s="13"/>
    </row>
    <row r="80" spans="1:22" x14ac:dyDescent="0.25">
      <c r="A80" s="13"/>
      <c r="B80" s="13"/>
      <c r="C80" s="13"/>
      <c r="D80" s="13"/>
      <c r="E80" s="12" t="s">
        <v>62</v>
      </c>
      <c r="F80" s="13"/>
      <c r="G80" s="13"/>
      <c r="H80" s="13"/>
      <c r="I80" s="13"/>
      <c r="J80" s="13"/>
      <c r="K80" s="13"/>
      <c r="L80" s="9" t="s">
        <v>45</v>
      </c>
      <c r="M80" s="13"/>
      <c r="N80" s="13"/>
      <c r="O80" s="13"/>
      <c r="P80" s="13"/>
      <c r="Q80" s="13"/>
      <c r="R80" s="13"/>
      <c r="S80" s="13"/>
      <c r="T80" s="13"/>
      <c r="U80" s="13"/>
      <c r="V80" s="13"/>
    </row>
    <row r="81" spans="1:22" x14ac:dyDescent="0.25">
      <c r="A81" s="19" t="s">
        <v>72</v>
      </c>
      <c r="B81" s="138">
        <f>Summary!$B$31+1</f>
        <v>2022</v>
      </c>
      <c r="C81" s="138">
        <f>B81+1</f>
        <v>2023</v>
      </c>
      <c r="D81" s="138">
        <f t="shared" ref="D81:F81" si="51">C81+1</f>
        <v>2024</v>
      </c>
      <c r="E81" s="138">
        <f t="shared" si="51"/>
        <v>2025</v>
      </c>
      <c r="F81" s="138">
        <f t="shared" si="51"/>
        <v>2026</v>
      </c>
      <c r="G81" s="138">
        <f>F81+1</f>
        <v>2027</v>
      </c>
      <c r="H81" s="13"/>
      <c r="I81" s="138">
        <f>Summary!$B$31+1</f>
        <v>2022</v>
      </c>
      <c r="J81" s="138">
        <f>I81+1</f>
        <v>2023</v>
      </c>
      <c r="K81" s="138">
        <f t="shared" ref="K81" si="52">J81+1</f>
        <v>2024</v>
      </c>
      <c r="L81" s="138">
        <f t="shared" ref="L81" si="53">K81+1</f>
        <v>2025</v>
      </c>
      <c r="M81" s="138">
        <f t="shared" ref="M81" si="54">L81+1</f>
        <v>2026</v>
      </c>
      <c r="N81" s="138">
        <f>M81+1</f>
        <v>2027</v>
      </c>
      <c r="O81" s="13"/>
      <c r="P81" s="13"/>
      <c r="Q81" s="13"/>
      <c r="R81" s="13"/>
      <c r="S81" s="13"/>
      <c r="T81" s="13"/>
      <c r="U81" s="13"/>
      <c r="V81" s="13"/>
    </row>
    <row r="82" spans="1:22" x14ac:dyDescent="0.25">
      <c r="A82" s="10" t="str">
        <f>$A$3</f>
        <v>Instruction</v>
      </c>
      <c r="B82" s="6">
        <f t="shared" ref="B82:G85" si="55">B37*B62+B44*B68</f>
        <v>13200000</v>
      </c>
      <c r="C82" s="6">
        <f t="shared" si="55"/>
        <v>13252745.454545455</v>
      </c>
      <c r="D82" s="6">
        <f t="shared" si="55"/>
        <v>13297340.727272727</v>
      </c>
      <c r="E82" s="6">
        <f t="shared" si="55"/>
        <v>13333687.183636364</v>
      </c>
      <c r="F82" s="6">
        <f t="shared" si="55"/>
        <v>13811025.149963636</v>
      </c>
      <c r="G82" s="6">
        <f t="shared" si="55"/>
        <v>13378167.845220545</v>
      </c>
      <c r="H82" s="13"/>
      <c r="I82" s="6">
        <f t="shared" ref="I82:N85" si="56">I37*I62+I44*I68</f>
        <v>390000</v>
      </c>
      <c r="J82" s="6">
        <f t="shared" si="56"/>
        <v>524064</v>
      </c>
      <c r="K82" s="6">
        <f t="shared" si="56"/>
        <v>665820.84</v>
      </c>
      <c r="L82" s="6">
        <f t="shared" si="56"/>
        <v>815646.40006399993</v>
      </c>
      <c r="M82" s="6">
        <f t="shared" si="56"/>
        <v>973862.25497583987</v>
      </c>
      <c r="N82" s="6">
        <f t="shared" si="56"/>
        <v>1140836.9794223327</v>
      </c>
      <c r="O82" s="13"/>
      <c r="P82" s="13"/>
      <c r="Q82" s="13"/>
      <c r="R82" s="13"/>
      <c r="S82" s="13"/>
      <c r="T82" s="13"/>
      <c r="U82" s="13"/>
      <c r="V82" s="13"/>
    </row>
    <row r="83" spans="1:22" x14ac:dyDescent="0.25">
      <c r="A83" s="10" t="str">
        <f>$A$4</f>
        <v>Research</v>
      </c>
      <c r="B83" s="6">
        <f t="shared" si="55"/>
        <v>1200000</v>
      </c>
      <c r="C83" s="6">
        <f t="shared" si="55"/>
        <v>1201745.4545454546</v>
      </c>
      <c r="D83" s="6">
        <f t="shared" si="55"/>
        <v>1203080.7272727273</v>
      </c>
      <c r="E83" s="6">
        <f t="shared" si="55"/>
        <v>1204417.4836363639</v>
      </c>
      <c r="F83" s="6">
        <f t="shared" si="55"/>
        <v>1205326.4779636366</v>
      </c>
      <c r="G83" s="6">
        <f t="shared" si="55"/>
        <v>1205790.0650705458</v>
      </c>
      <c r="H83" s="13"/>
      <c r="I83" s="6">
        <f t="shared" si="56"/>
        <v>0</v>
      </c>
      <c r="J83" s="6">
        <f t="shared" si="56"/>
        <v>0</v>
      </c>
      <c r="K83" s="6">
        <f t="shared" si="56"/>
        <v>0</v>
      </c>
      <c r="L83" s="6">
        <f t="shared" si="56"/>
        <v>0</v>
      </c>
      <c r="M83" s="6">
        <f t="shared" si="56"/>
        <v>0</v>
      </c>
      <c r="N83" s="6">
        <f t="shared" si="56"/>
        <v>0</v>
      </c>
      <c r="O83" s="13"/>
      <c r="P83" s="13"/>
      <c r="Q83" s="13"/>
      <c r="R83" s="13"/>
      <c r="S83" s="13"/>
      <c r="T83" s="13"/>
      <c r="U83" s="13"/>
      <c r="V83" s="13"/>
    </row>
    <row r="84" spans="1:22" x14ac:dyDescent="0.25">
      <c r="A84" s="10" t="str">
        <f>$A$5</f>
        <v>Public service</v>
      </c>
      <c r="B84" s="6">
        <f t="shared" si="55"/>
        <v>1200000</v>
      </c>
      <c r="C84" s="6">
        <f t="shared" si="55"/>
        <v>1201745.4545454546</v>
      </c>
      <c r="D84" s="6">
        <f t="shared" si="55"/>
        <v>1203080.7272727273</v>
      </c>
      <c r="E84" s="6">
        <f t="shared" si="55"/>
        <v>1204417.4836363639</v>
      </c>
      <c r="F84" s="6">
        <f t="shared" si="55"/>
        <v>1205326.4779636366</v>
      </c>
      <c r="G84" s="6">
        <f t="shared" si="55"/>
        <v>1205790.0650705458</v>
      </c>
      <c r="H84" s="13"/>
      <c r="I84" s="6">
        <f t="shared" si="56"/>
        <v>0</v>
      </c>
      <c r="J84" s="6">
        <f t="shared" si="56"/>
        <v>0</v>
      </c>
      <c r="K84" s="6">
        <f t="shared" si="56"/>
        <v>0</v>
      </c>
      <c r="L84" s="6">
        <f t="shared" si="56"/>
        <v>0</v>
      </c>
      <c r="M84" s="6">
        <f t="shared" si="56"/>
        <v>0</v>
      </c>
      <c r="N84" s="6">
        <f t="shared" si="56"/>
        <v>0</v>
      </c>
      <c r="O84" s="13"/>
      <c r="P84" s="13"/>
      <c r="Q84" s="13"/>
      <c r="R84" s="13"/>
      <c r="S84" s="13"/>
      <c r="T84" s="13"/>
      <c r="U84" s="13"/>
      <c r="V84" s="13"/>
    </row>
    <row r="85" spans="1:22" x14ac:dyDescent="0.25">
      <c r="A85" s="10" t="str">
        <f>$A$6</f>
        <v>Academic support</v>
      </c>
      <c r="B85" s="6">
        <f t="shared" si="55"/>
        <v>2500000</v>
      </c>
      <c r="C85" s="6">
        <f t="shared" si="55"/>
        <v>2532181.8181818184</v>
      </c>
      <c r="D85" s="6">
        <f t="shared" si="55"/>
        <v>2564750.9090909092</v>
      </c>
      <c r="E85" s="6">
        <f t="shared" si="55"/>
        <v>2598248.854545455</v>
      </c>
      <c r="F85" s="6">
        <f t="shared" si="55"/>
        <v>2632166.9074545456</v>
      </c>
      <c r="G85" s="6">
        <f t="shared" si="55"/>
        <v>2666511.6556381825</v>
      </c>
      <c r="H85" s="13"/>
      <c r="I85" s="6">
        <f t="shared" si="56"/>
        <v>360000</v>
      </c>
      <c r="J85" s="6">
        <f t="shared" si="56"/>
        <v>365856</v>
      </c>
      <c r="K85" s="6">
        <f t="shared" si="56"/>
        <v>371739.36000000004</v>
      </c>
      <c r="L85" s="6">
        <f t="shared" si="56"/>
        <v>377786.32025600009</v>
      </c>
      <c r="M85" s="6">
        <f t="shared" si="56"/>
        <v>383861.53270336014</v>
      </c>
      <c r="N85" s="6">
        <f t="shared" si="56"/>
        <v>389961.2502093314</v>
      </c>
      <c r="O85" s="13"/>
      <c r="P85" s="13"/>
      <c r="Q85" s="13"/>
      <c r="R85" s="13"/>
      <c r="S85" s="13"/>
      <c r="T85" s="13"/>
      <c r="U85" s="13"/>
      <c r="V85" s="13"/>
    </row>
    <row r="86" spans="1:22" x14ac:dyDescent="0.25">
      <c r="A86" s="10" t="str">
        <f>$A$7</f>
        <v>Student services</v>
      </c>
      <c r="B86" s="6">
        <f t="shared" ref="B86:G92" si="57">B48*B72</f>
        <v>1800000</v>
      </c>
      <c r="C86" s="6">
        <f t="shared" si="57"/>
        <v>1802618.1818181816</v>
      </c>
      <c r="D86" s="6">
        <f t="shared" si="57"/>
        <v>1991893.0909090908</v>
      </c>
      <c r="E86" s="6">
        <f t="shared" si="57"/>
        <v>1994106.3054545454</v>
      </c>
      <c r="F86" s="6">
        <f t="shared" si="57"/>
        <v>1995611.2913454545</v>
      </c>
      <c r="G86" s="6">
        <f t="shared" si="57"/>
        <v>1996378.8341498184</v>
      </c>
      <c r="H86" s="13"/>
      <c r="I86" s="6">
        <f t="shared" ref="I86:N92" si="58">I48*I72</f>
        <v>360000</v>
      </c>
      <c r="J86" s="6">
        <f t="shared" si="58"/>
        <v>365856</v>
      </c>
      <c r="K86" s="6">
        <f t="shared" si="58"/>
        <v>371739.36000000004</v>
      </c>
      <c r="L86" s="6">
        <f t="shared" si="58"/>
        <v>377786.32025600009</v>
      </c>
      <c r="M86" s="6">
        <f t="shared" si="58"/>
        <v>383861.53270336014</v>
      </c>
      <c r="N86" s="6">
        <f t="shared" si="58"/>
        <v>389961.2502093314</v>
      </c>
      <c r="O86" s="13"/>
      <c r="P86" s="13"/>
      <c r="Q86" s="13"/>
      <c r="R86" s="13"/>
      <c r="S86" s="13"/>
      <c r="T86" s="13"/>
      <c r="U86" s="13"/>
      <c r="V86" s="13"/>
    </row>
    <row r="87" spans="1:22" x14ac:dyDescent="0.25">
      <c r="A87" s="10" t="str">
        <f>$A$8</f>
        <v>Institutional support</v>
      </c>
      <c r="B87" s="6">
        <f t="shared" si="57"/>
        <v>1200000</v>
      </c>
      <c r="C87" s="6">
        <f t="shared" si="57"/>
        <v>1201745.4545454546</v>
      </c>
      <c r="D87" s="6">
        <f t="shared" si="57"/>
        <v>1203080.7272727273</v>
      </c>
      <c r="E87" s="6">
        <f t="shared" si="57"/>
        <v>1204417.4836363639</v>
      </c>
      <c r="F87" s="6">
        <f t="shared" si="57"/>
        <v>1205326.4779636366</v>
      </c>
      <c r="G87" s="6">
        <f t="shared" si="57"/>
        <v>1205790.0650705458</v>
      </c>
      <c r="H87" s="13"/>
      <c r="I87" s="6">
        <f t="shared" si="58"/>
        <v>90000</v>
      </c>
      <c r="J87" s="6">
        <f t="shared" si="58"/>
        <v>91464</v>
      </c>
      <c r="K87" s="6">
        <f t="shared" si="58"/>
        <v>92934.840000000011</v>
      </c>
      <c r="L87" s="6">
        <f t="shared" si="58"/>
        <v>94446.580064000023</v>
      </c>
      <c r="M87" s="6">
        <f t="shared" si="58"/>
        <v>95965.383175840034</v>
      </c>
      <c r="N87" s="6">
        <f t="shared" si="58"/>
        <v>97490.312552332849</v>
      </c>
      <c r="O87" s="13"/>
      <c r="P87" s="13"/>
      <c r="Q87" s="13"/>
      <c r="R87" s="13"/>
      <c r="S87" s="13"/>
      <c r="T87" s="13"/>
      <c r="U87" s="13"/>
      <c r="V87" s="13"/>
    </row>
    <row r="88" spans="1:22" x14ac:dyDescent="0.25">
      <c r="A88" s="10" t="str">
        <f>$A$9</f>
        <v>Auxiliary enterprises</v>
      </c>
      <c r="B88" s="6">
        <f t="shared" si="57"/>
        <v>600000</v>
      </c>
      <c r="C88" s="6">
        <f t="shared" si="57"/>
        <v>600872.72727272729</v>
      </c>
      <c r="D88" s="6">
        <f t="shared" si="57"/>
        <v>601540.36363636365</v>
      </c>
      <c r="E88" s="6">
        <f t="shared" si="57"/>
        <v>602208.74181818194</v>
      </c>
      <c r="F88" s="6">
        <f t="shared" si="57"/>
        <v>602663.23898181831</v>
      </c>
      <c r="G88" s="6">
        <f t="shared" si="57"/>
        <v>602895.03253527288</v>
      </c>
      <c r="H88" s="13"/>
      <c r="I88" s="6">
        <f t="shared" si="58"/>
        <v>360000</v>
      </c>
      <c r="J88" s="6">
        <f t="shared" si="58"/>
        <v>365856</v>
      </c>
      <c r="K88" s="6">
        <f t="shared" si="58"/>
        <v>371739.36000000004</v>
      </c>
      <c r="L88" s="6">
        <f t="shared" si="58"/>
        <v>377786.32025600009</v>
      </c>
      <c r="M88" s="6">
        <f t="shared" si="58"/>
        <v>383861.53270336014</v>
      </c>
      <c r="N88" s="6">
        <f t="shared" si="58"/>
        <v>389961.2502093314</v>
      </c>
      <c r="O88" s="13"/>
      <c r="P88" s="13"/>
      <c r="Q88" s="13"/>
      <c r="R88" s="13"/>
      <c r="S88" s="13"/>
      <c r="T88" s="13"/>
      <c r="U88" s="13"/>
      <c r="V88" s="13"/>
    </row>
    <row r="89" spans="1:22" x14ac:dyDescent="0.25">
      <c r="A89" s="10" t="str">
        <f>$A$10</f>
        <v>Hospital services</v>
      </c>
      <c r="B89" s="6">
        <f t="shared" si="57"/>
        <v>0</v>
      </c>
      <c r="C89" s="6">
        <f t="shared" si="57"/>
        <v>0</v>
      </c>
      <c r="D89" s="6">
        <f t="shared" si="57"/>
        <v>0</v>
      </c>
      <c r="E89" s="6">
        <f t="shared" si="57"/>
        <v>0</v>
      </c>
      <c r="F89" s="6">
        <f t="shared" si="57"/>
        <v>0</v>
      </c>
      <c r="G89" s="6">
        <f t="shared" si="57"/>
        <v>0</v>
      </c>
      <c r="H89" s="13"/>
      <c r="I89" s="6">
        <f t="shared" si="58"/>
        <v>0</v>
      </c>
      <c r="J89" s="6">
        <f t="shared" si="58"/>
        <v>0</v>
      </c>
      <c r="K89" s="6">
        <f t="shared" si="58"/>
        <v>0</v>
      </c>
      <c r="L89" s="6">
        <f t="shared" si="58"/>
        <v>0</v>
      </c>
      <c r="M89" s="6">
        <f t="shared" si="58"/>
        <v>0</v>
      </c>
      <c r="N89" s="6">
        <f t="shared" si="58"/>
        <v>0</v>
      </c>
      <c r="O89" s="13"/>
      <c r="P89" s="13"/>
      <c r="Q89" s="13"/>
      <c r="R89" s="13"/>
      <c r="S89" s="13"/>
      <c r="T89" s="13"/>
      <c r="U89" s="13"/>
      <c r="V89" s="13"/>
    </row>
    <row r="90" spans="1:22" x14ac:dyDescent="0.25">
      <c r="A90" s="10" t="str">
        <f>$A$11</f>
        <v>Independent operatons</v>
      </c>
      <c r="B90" s="6">
        <f t="shared" si="57"/>
        <v>0</v>
      </c>
      <c r="C90" s="6">
        <f t="shared" si="57"/>
        <v>0</v>
      </c>
      <c r="D90" s="6">
        <f t="shared" si="57"/>
        <v>0</v>
      </c>
      <c r="E90" s="6">
        <f t="shared" si="57"/>
        <v>0</v>
      </c>
      <c r="F90" s="6">
        <f t="shared" si="57"/>
        <v>0</v>
      </c>
      <c r="G90" s="6">
        <f t="shared" si="57"/>
        <v>0</v>
      </c>
      <c r="H90" s="13"/>
      <c r="I90" s="6">
        <f t="shared" si="58"/>
        <v>0</v>
      </c>
      <c r="J90" s="6">
        <f t="shared" si="58"/>
        <v>0</v>
      </c>
      <c r="K90" s="6">
        <f t="shared" si="58"/>
        <v>0</v>
      </c>
      <c r="L90" s="6">
        <f t="shared" si="58"/>
        <v>0</v>
      </c>
      <c r="M90" s="6">
        <f t="shared" si="58"/>
        <v>0</v>
      </c>
      <c r="N90" s="6">
        <f t="shared" si="58"/>
        <v>0</v>
      </c>
      <c r="O90" s="13"/>
      <c r="P90" s="13"/>
      <c r="Q90" s="13"/>
      <c r="R90" s="13"/>
      <c r="S90" s="13"/>
      <c r="T90" s="13"/>
      <c r="U90" s="13"/>
      <c r="V90" s="13"/>
    </row>
    <row r="91" spans="1:22" x14ac:dyDescent="0.25">
      <c r="A91" s="10" t="str">
        <f>$A$12</f>
        <v>Other functional expenses and deductions</v>
      </c>
      <c r="B91" s="6">
        <f t="shared" si="57"/>
        <v>0</v>
      </c>
      <c r="C91" s="6">
        <f t="shared" si="57"/>
        <v>0</v>
      </c>
      <c r="D91" s="6">
        <f t="shared" si="57"/>
        <v>0</v>
      </c>
      <c r="E91" s="6">
        <f t="shared" si="57"/>
        <v>0</v>
      </c>
      <c r="F91" s="6">
        <f t="shared" si="57"/>
        <v>0</v>
      </c>
      <c r="G91" s="6">
        <f t="shared" si="57"/>
        <v>0</v>
      </c>
      <c r="H91" s="13"/>
      <c r="I91" s="6">
        <f t="shared" si="58"/>
        <v>0</v>
      </c>
      <c r="J91" s="6">
        <f t="shared" si="58"/>
        <v>0</v>
      </c>
      <c r="K91" s="6">
        <f t="shared" si="58"/>
        <v>0</v>
      </c>
      <c r="L91" s="6">
        <f t="shared" si="58"/>
        <v>0</v>
      </c>
      <c r="M91" s="6">
        <f t="shared" si="58"/>
        <v>0</v>
      </c>
      <c r="N91" s="6">
        <f t="shared" si="58"/>
        <v>0</v>
      </c>
      <c r="O91" s="13"/>
      <c r="P91" s="13"/>
      <c r="Q91" s="13"/>
      <c r="R91" s="13"/>
      <c r="S91" s="13"/>
      <c r="T91" s="13"/>
      <c r="U91" s="13"/>
      <c r="V91" s="13"/>
    </row>
    <row r="92" spans="1:22" x14ac:dyDescent="0.25">
      <c r="A92" s="10" t="str">
        <f>$A$13</f>
        <v>Plant Operations</v>
      </c>
      <c r="B92" s="6">
        <f t="shared" si="57"/>
        <v>1200000</v>
      </c>
      <c r="C92" s="6">
        <f t="shared" si="57"/>
        <v>1201745.4545454546</v>
      </c>
      <c r="D92" s="6">
        <f t="shared" si="57"/>
        <v>1203080.7272727273</v>
      </c>
      <c r="E92" s="6">
        <f t="shared" si="57"/>
        <v>1204417.4836363639</v>
      </c>
      <c r="F92" s="6">
        <f t="shared" si="57"/>
        <v>1205326.4779636366</v>
      </c>
      <c r="G92" s="6">
        <f t="shared" si="57"/>
        <v>1205790.0650705458</v>
      </c>
      <c r="H92" s="13"/>
      <c r="I92" s="6">
        <f t="shared" si="58"/>
        <v>90000</v>
      </c>
      <c r="J92" s="6">
        <f t="shared" si="58"/>
        <v>91464</v>
      </c>
      <c r="K92" s="6">
        <f t="shared" si="58"/>
        <v>131127.24000000002</v>
      </c>
      <c r="L92" s="6">
        <f t="shared" si="58"/>
        <v>133260.24310400002</v>
      </c>
      <c r="M92" s="6">
        <f t="shared" si="58"/>
        <v>135403.21187824002</v>
      </c>
      <c r="N92" s="6">
        <f t="shared" si="58"/>
        <v>137554.82456014084</v>
      </c>
      <c r="O92" s="13"/>
      <c r="P92" s="13"/>
      <c r="Q92" s="13"/>
      <c r="R92" s="13"/>
      <c r="S92" s="13"/>
      <c r="T92" s="13"/>
      <c r="U92" s="13"/>
      <c r="V92" s="13"/>
    </row>
    <row r="93" spans="1:22" x14ac:dyDescent="0.25">
      <c r="A93" s="16"/>
      <c r="B93" s="16"/>
      <c r="C93" s="16"/>
      <c r="D93" s="16"/>
      <c r="E93" s="16"/>
      <c r="F93" s="16"/>
      <c r="G93" s="16"/>
      <c r="H93" s="13"/>
      <c r="I93" s="16"/>
      <c r="J93" s="16"/>
      <c r="K93" s="16"/>
      <c r="L93" s="16"/>
      <c r="M93" s="16"/>
      <c r="N93" s="16"/>
      <c r="O93" s="13"/>
      <c r="P93" s="13"/>
      <c r="Q93" s="13"/>
      <c r="R93" s="13"/>
      <c r="S93" s="13"/>
      <c r="T93" s="13"/>
      <c r="U93" s="13"/>
      <c r="V93" s="13"/>
    </row>
    <row r="94" spans="1:22" x14ac:dyDescent="0.25">
      <c r="A94" s="13"/>
      <c r="B94" s="13"/>
      <c r="C94" s="13"/>
      <c r="D94" s="13"/>
      <c r="E94" s="12" t="s">
        <v>62</v>
      </c>
      <c r="F94" s="13"/>
      <c r="G94" s="8"/>
      <c r="H94" s="12" t="s">
        <v>31</v>
      </c>
      <c r="I94" s="8"/>
      <c r="J94" s="13"/>
      <c r="K94" s="13"/>
      <c r="L94" s="9" t="s">
        <v>45</v>
      </c>
      <c r="M94" s="13"/>
      <c r="N94" s="8"/>
      <c r="O94" s="12" t="s">
        <v>31</v>
      </c>
      <c r="P94" s="8"/>
      <c r="Q94" s="13"/>
      <c r="R94" s="13"/>
      <c r="S94" s="13"/>
      <c r="T94" s="13"/>
      <c r="U94" s="13"/>
      <c r="V94" s="13"/>
    </row>
    <row r="95" spans="1:22" x14ac:dyDescent="0.25">
      <c r="A95" s="19" t="s">
        <v>73</v>
      </c>
      <c r="B95" s="138">
        <f>Summary!$B$31+1</f>
        <v>2022</v>
      </c>
      <c r="C95" s="138">
        <f>B95+1</f>
        <v>2023</v>
      </c>
      <c r="D95" s="138">
        <f t="shared" ref="D95:G95" si="59">C95+1</f>
        <v>2024</v>
      </c>
      <c r="E95" s="138">
        <f t="shared" si="59"/>
        <v>2025</v>
      </c>
      <c r="F95" s="138">
        <f t="shared" si="59"/>
        <v>2026</v>
      </c>
      <c r="G95" s="138">
        <f t="shared" si="59"/>
        <v>2027</v>
      </c>
      <c r="H95" s="176">
        <f>Summary!B28</f>
        <v>1.4999999999999999E-2</v>
      </c>
      <c r="I95" s="138">
        <f>Summary!$B$31+1</f>
        <v>2022</v>
      </c>
      <c r="J95" s="138">
        <f>I95+1</f>
        <v>2023</v>
      </c>
      <c r="K95" s="138">
        <f t="shared" ref="K95" si="60">J95+1</f>
        <v>2024</v>
      </c>
      <c r="L95" s="138">
        <f t="shared" ref="L95" si="61">K95+1</f>
        <v>2025</v>
      </c>
      <c r="M95" s="138">
        <f t="shared" ref="M95" si="62">L95+1</f>
        <v>2026</v>
      </c>
      <c r="N95" s="138">
        <f t="shared" ref="N95" si="63">M95+1</f>
        <v>2027</v>
      </c>
      <c r="O95" s="131">
        <f>Summary!B29</f>
        <v>0</v>
      </c>
      <c r="P95" s="13"/>
      <c r="Q95" s="13"/>
      <c r="R95" s="13"/>
      <c r="S95" s="13"/>
      <c r="T95" s="13"/>
      <c r="U95" s="13"/>
      <c r="V95" s="13"/>
    </row>
    <row r="96" spans="1:22" x14ac:dyDescent="0.25">
      <c r="A96" s="177" t="s">
        <v>33</v>
      </c>
      <c r="B96" s="7"/>
      <c r="C96" s="7"/>
      <c r="D96" s="7"/>
      <c r="E96" s="7"/>
      <c r="F96" s="7"/>
      <c r="G96" s="7"/>
      <c r="H96" s="13"/>
      <c r="I96" s="7"/>
      <c r="J96" s="7"/>
      <c r="K96" s="7"/>
      <c r="L96" s="7"/>
      <c r="M96" s="7"/>
      <c r="N96" s="7"/>
      <c r="O96" s="13"/>
      <c r="P96" s="13"/>
      <c r="Q96" s="13"/>
      <c r="R96" s="13"/>
      <c r="S96" s="13"/>
      <c r="T96" s="13"/>
      <c r="U96" s="13"/>
      <c r="V96" s="13"/>
    </row>
    <row r="97" spans="1:22" x14ac:dyDescent="0.25">
      <c r="A97" s="10" t="str">
        <f>$A$3</f>
        <v>Instruction</v>
      </c>
      <c r="B97" s="17">
        <f>D3</f>
        <v>0.45</v>
      </c>
      <c r="C97" s="15">
        <f>B97*(1+$H$95)</f>
        <v>0.45674999999999999</v>
      </c>
      <c r="D97" s="15">
        <f t="shared" ref="D97:G97" si="64">C97*(1+$H$95)</f>
        <v>0.46360124999999996</v>
      </c>
      <c r="E97" s="15">
        <f t="shared" si="64"/>
        <v>0.47055526874999992</v>
      </c>
      <c r="F97" s="15">
        <f t="shared" si="64"/>
        <v>0.4776135977812499</v>
      </c>
      <c r="G97" s="15">
        <f t="shared" si="64"/>
        <v>0.48477780174796858</v>
      </c>
      <c r="H97" s="13"/>
      <c r="I97" s="17">
        <f>K3</f>
        <v>0.1</v>
      </c>
      <c r="J97" s="15">
        <f>I97*(1+$O$95)</f>
        <v>0.1</v>
      </c>
      <c r="K97" s="15">
        <f t="shared" ref="K97:N97" si="65">J97*(1+$O$95)</f>
        <v>0.1</v>
      </c>
      <c r="L97" s="15">
        <f t="shared" si="65"/>
        <v>0.1</v>
      </c>
      <c r="M97" s="15">
        <f t="shared" si="65"/>
        <v>0.1</v>
      </c>
      <c r="N97" s="15">
        <f t="shared" si="65"/>
        <v>0.1</v>
      </c>
      <c r="O97" s="13"/>
      <c r="P97" s="13"/>
      <c r="Q97" s="13"/>
      <c r="R97" s="13"/>
      <c r="S97" s="13"/>
      <c r="T97" s="13"/>
      <c r="U97" s="13"/>
      <c r="V97" s="13"/>
    </row>
    <row r="98" spans="1:22" x14ac:dyDescent="0.25">
      <c r="A98" s="10" t="str">
        <f>$A$4</f>
        <v>Research</v>
      </c>
      <c r="B98" s="17">
        <f>D4</f>
        <v>0.45</v>
      </c>
      <c r="C98" s="15">
        <f t="shared" ref="C98:C100" si="66">B98*(1+$H$95)</f>
        <v>0.45674999999999999</v>
      </c>
      <c r="D98" s="15">
        <f t="shared" ref="D98:D100" si="67">C98*(1+$H$95)</f>
        <v>0.46360124999999996</v>
      </c>
      <c r="E98" s="15">
        <f t="shared" ref="E98:E100" si="68">D98*(1+$H$95)</f>
        <v>0.47055526874999992</v>
      </c>
      <c r="F98" s="15">
        <f t="shared" ref="F98:F100" si="69">E98*(1+$H$95)</f>
        <v>0.4776135977812499</v>
      </c>
      <c r="G98" s="15">
        <f t="shared" ref="G98:G100" si="70">F98*(1+$H$95)</f>
        <v>0.48477780174796858</v>
      </c>
      <c r="H98" s="13"/>
      <c r="I98" s="17">
        <f>K4</f>
        <v>0.1</v>
      </c>
      <c r="J98" s="15">
        <f t="shared" ref="J98:J100" si="71">I98*(1+$O$95)</f>
        <v>0.1</v>
      </c>
      <c r="K98" s="15">
        <f t="shared" ref="K98:K100" si="72">J98*(1+$O$95)</f>
        <v>0.1</v>
      </c>
      <c r="L98" s="15">
        <f t="shared" ref="L98:L100" si="73">K98*(1+$O$95)</f>
        <v>0.1</v>
      </c>
      <c r="M98" s="15">
        <f t="shared" ref="M98:M100" si="74">L98*(1+$O$95)</f>
        <v>0.1</v>
      </c>
      <c r="N98" s="15">
        <f t="shared" ref="N98:N100" si="75">M98*(1+$O$95)</f>
        <v>0.1</v>
      </c>
      <c r="O98" s="13"/>
      <c r="P98" s="13"/>
      <c r="Q98" s="13"/>
      <c r="R98" s="13"/>
      <c r="S98" s="13"/>
      <c r="T98" s="13"/>
      <c r="U98" s="13"/>
      <c r="V98" s="13"/>
    </row>
    <row r="99" spans="1:22" x14ac:dyDescent="0.25">
      <c r="A99" s="10" t="str">
        <f>$A$5</f>
        <v>Public service</v>
      </c>
      <c r="B99" s="17">
        <f>D5</f>
        <v>0.45</v>
      </c>
      <c r="C99" s="15">
        <f t="shared" si="66"/>
        <v>0.45674999999999999</v>
      </c>
      <c r="D99" s="15">
        <f t="shared" si="67"/>
        <v>0.46360124999999996</v>
      </c>
      <c r="E99" s="15">
        <f t="shared" si="68"/>
        <v>0.47055526874999992</v>
      </c>
      <c r="F99" s="15">
        <f t="shared" si="69"/>
        <v>0.4776135977812499</v>
      </c>
      <c r="G99" s="15">
        <f t="shared" si="70"/>
        <v>0.48477780174796858</v>
      </c>
      <c r="H99" s="13"/>
      <c r="I99" s="17">
        <f>K5</f>
        <v>0.1</v>
      </c>
      <c r="J99" s="15">
        <f t="shared" si="71"/>
        <v>0.1</v>
      </c>
      <c r="K99" s="15">
        <f t="shared" si="72"/>
        <v>0.1</v>
      </c>
      <c r="L99" s="15">
        <f t="shared" si="73"/>
        <v>0.1</v>
      </c>
      <c r="M99" s="15">
        <f t="shared" si="74"/>
        <v>0.1</v>
      </c>
      <c r="N99" s="15">
        <f t="shared" si="75"/>
        <v>0.1</v>
      </c>
      <c r="O99" s="13"/>
      <c r="P99" s="13"/>
      <c r="Q99" s="13"/>
      <c r="R99" s="13"/>
      <c r="S99" s="13"/>
      <c r="T99" s="13"/>
      <c r="U99" s="13"/>
      <c r="V99" s="13"/>
    </row>
    <row r="100" spans="1:22" x14ac:dyDescent="0.25">
      <c r="A100" s="10" t="str">
        <f>$A$6</f>
        <v>Academic support</v>
      </c>
      <c r="B100" s="17">
        <f>D6</f>
        <v>0.45</v>
      </c>
      <c r="C100" s="15">
        <f t="shared" si="66"/>
        <v>0.45674999999999999</v>
      </c>
      <c r="D100" s="15">
        <f t="shared" si="67"/>
        <v>0.46360124999999996</v>
      </c>
      <c r="E100" s="15">
        <f t="shared" si="68"/>
        <v>0.47055526874999992</v>
      </c>
      <c r="F100" s="15">
        <f t="shared" si="69"/>
        <v>0.4776135977812499</v>
      </c>
      <c r="G100" s="15">
        <f t="shared" si="70"/>
        <v>0.48477780174796858</v>
      </c>
      <c r="H100" s="13"/>
      <c r="I100" s="17">
        <f>K6</f>
        <v>0.1</v>
      </c>
      <c r="J100" s="15">
        <f t="shared" si="71"/>
        <v>0.1</v>
      </c>
      <c r="K100" s="15">
        <f t="shared" si="72"/>
        <v>0.1</v>
      </c>
      <c r="L100" s="15">
        <f t="shared" si="73"/>
        <v>0.1</v>
      </c>
      <c r="M100" s="15">
        <f t="shared" si="74"/>
        <v>0.1</v>
      </c>
      <c r="N100" s="15">
        <f t="shared" si="75"/>
        <v>0.1</v>
      </c>
      <c r="O100" s="13"/>
      <c r="P100" s="13"/>
      <c r="Q100" s="13"/>
      <c r="R100" s="13"/>
      <c r="S100" s="13"/>
      <c r="T100" s="13"/>
      <c r="U100" s="13"/>
      <c r="V100" s="13"/>
    </row>
    <row r="101" spans="1:22" x14ac:dyDescent="0.25">
      <c r="A101" s="177" t="s">
        <v>223</v>
      </c>
      <c r="B101" s="17"/>
      <c r="C101" s="15"/>
      <c r="D101" s="15"/>
      <c r="E101" s="15"/>
      <c r="F101" s="15"/>
      <c r="G101" s="15"/>
      <c r="H101" s="13"/>
      <c r="I101" s="17"/>
      <c r="J101" s="15"/>
      <c r="K101" s="15"/>
      <c r="L101" s="15"/>
      <c r="M101" s="15"/>
      <c r="N101" s="15"/>
      <c r="O101" s="13"/>
      <c r="P101" s="13"/>
      <c r="Q101" s="13"/>
      <c r="R101" s="13"/>
      <c r="S101" s="13"/>
      <c r="T101" s="13"/>
      <c r="U101" s="13"/>
      <c r="V101" s="13"/>
    </row>
    <row r="102" spans="1:22" x14ac:dyDescent="0.25">
      <c r="A102" s="10" t="str">
        <f>$A$3</f>
        <v>Instruction</v>
      </c>
      <c r="B102" s="17">
        <f t="shared" ref="B102:B112" si="76">G3</f>
        <v>0.45</v>
      </c>
      <c r="C102" s="15">
        <f t="shared" ref="C102:C105" si="77">B102*(1+$H$95)</f>
        <v>0.45674999999999999</v>
      </c>
      <c r="D102" s="15">
        <f t="shared" ref="D102:D105" si="78">C102*(1+$H$95)</f>
        <v>0.46360124999999996</v>
      </c>
      <c r="E102" s="15">
        <f t="shared" ref="E102:E105" si="79">D102*(1+$H$95)</f>
        <v>0.47055526874999992</v>
      </c>
      <c r="F102" s="15">
        <f t="shared" ref="F102:F105" si="80">E102*(1+$H$95)</f>
        <v>0.4776135977812499</v>
      </c>
      <c r="G102" s="15">
        <f t="shared" ref="G102:G105" si="81">F102*(1+$H$95)</f>
        <v>0.48477780174796858</v>
      </c>
      <c r="H102" s="13"/>
      <c r="I102" s="17">
        <f t="shared" ref="I102:I112" si="82">N3</f>
        <v>0.1</v>
      </c>
      <c r="J102" s="15">
        <f t="shared" ref="J102:J105" si="83">I102*(1+$O$95)</f>
        <v>0.1</v>
      </c>
      <c r="K102" s="15">
        <f t="shared" ref="K102:K105" si="84">J102*(1+$O$95)</f>
        <v>0.1</v>
      </c>
      <c r="L102" s="15">
        <f t="shared" ref="L102:L105" si="85">K102*(1+$O$95)</f>
        <v>0.1</v>
      </c>
      <c r="M102" s="15">
        <f t="shared" ref="M102:M105" si="86">L102*(1+$O$95)</f>
        <v>0.1</v>
      </c>
      <c r="N102" s="15">
        <f t="shared" ref="N102:N105" si="87">M102*(1+$O$95)</f>
        <v>0.1</v>
      </c>
      <c r="O102" s="13"/>
      <c r="P102" s="13"/>
      <c r="Q102" s="13"/>
      <c r="R102" s="13"/>
      <c r="S102" s="13"/>
      <c r="T102" s="13"/>
      <c r="U102" s="13"/>
      <c r="V102" s="13"/>
    </row>
    <row r="103" spans="1:22" x14ac:dyDescent="0.25">
      <c r="A103" s="10" t="str">
        <f>$A$4</f>
        <v>Research</v>
      </c>
      <c r="B103" s="17">
        <f t="shared" si="76"/>
        <v>0.45</v>
      </c>
      <c r="C103" s="15">
        <f t="shared" si="77"/>
        <v>0.45674999999999999</v>
      </c>
      <c r="D103" s="15">
        <f t="shared" si="78"/>
        <v>0.46360124999999996</v>
      </c>
      <c r="E103" s="15">
        <f t="shared" si="79"/>
        <v>0.47055526874999992</v>
      </c>
      <c r="F103" s="15">
        <f t="shared" si="80"/>
        <v>0.4776135977812499</v>
      </c>
      <c r="G103" s="15">
        <f t="shared" si="81"/>
        <v>0.48477780174796858</v>
      </c>
      <c r="H103" s="13"/>
      <c r="I103" s="17">
        <f t="shared" si="82"/>
        <v>0.1</v>
      </c>
      <c r="J103" s="15">
        <f t="shared" si="83"/>
        <v>0.1</v>
      </c>
      <c r="K103" s="15">
        <f t="shared" si="84"/>
        <v>0.1</v>
      </c>
      <c r="L103" s="15">
        <f t="shared" si="85"/>
        <v>0.1</v>
      </c>
      <c r="M103" s="15">
        <f t="shared" si="86"/>
        <v>0.1</v>
      </c>
      <c r="N103" s="15">
        <f t="shared" si="87"/>
        <v>0.1</v>
      </c>
      <c r="O103" s="13"/>
      <c r="P103" s="13"/>
      <c r="Q103" s="13"/>
      <c r="R103" s="13"/>
      <c r="S103" s="13"/>
      <c r="T103" s="13"/>
      <c r="U103" s="13"/>
      <c r="V103" s="13"/>
    </row>
    <row r="104" spans="1:22" x14ac:dyDescent="0.25">
      <c r="A104" s="10" t="str">
        <f>$A$5</f>
        <v>Public service</v>
      </c>
      <c r="B104" s="17">
        <f t="shared" si="76"/>
        <v>0.45</v>
      </c>
      <c r="C104" s="15">
        <f t="shared" si="77"/>
        <v>0.45674999999999999</v>
      </c>
      <c r="D104" s="15">
        <f t="shared" si="78"/>
        <v>0.46360124999999996</v>
      </c>
      <c r="E104" s="15">
        <f t="shared" si="79"/>
        <v>0.47055526874999992</v>
      </c>
      <c r="F104" s="15">
        <f t="shared" si="80"/>
        <v>0.4776135977812499</v>
      </c>
      <c r="G104" s="15">
        <f t="shared" si="81"/>
        <v>0.48477780174796858</v>
      </c>
      <c r="H104" s="13"/>
      <c r="I104" s="17">
        <f t="shared" si="82"/>
        <v>0.1</v>
      </c>
      <c r="J104" s="15">
        <f t="shared" si="83"/>
        <v>0.1</v>
      </c>
      <c r="K104" s="15">
        <f t="shared" si="84"/>
        <v>0.1</v>
      </c>
      <c r="L104" s="15">
        <f t="shared" si="85"/>
        <v>0.1</v>
      </c>
      <c r="M104" s="15">
        <f t="shared" si="86"/>
        <v>0.1</v>
      </c>
      <c r="N104" s="15">
        <f t="shared" si="87"/>
        <v>0.1</v>
      </c>
      <c r="O104" s="13"/>
      <c r="P104" s="13"/>
      <c r="Q104" s="13"/>
      <c r="R104" s="13"/>
      <c r="S104" s="13"/>
      <c r="T104" s="13"/>
      <c r="U104" s="13"/>
      <c r="V104" s="13"/>
    </row>
    <row r="105" spans="1:22" x14ac:dyDescent="0.25">
      <c r="A105" s="10" t="str">
        <f>$A$6</f>
        <v>Academic support</v>
      </c>
      <c r="B105" s="17">
        <f t="shared" si="76"/>
        <v>0.45</v>
      </c>
      <c r="C105" s="15">
        <f t="shared" si="77"/>
        <v>0.45674999999999999</v>
      </c>
      <c r="D105" s="15">
        <f t="shared" si="78"/>
        <v>0.46360124999999996</v>
      </c>
      <c r="E105" s="15">
        <f t="shared" si="79"/>
        <v>0.47055526874999992</v>
      </c>
      <c r="F105" s="15">
        <f t="shared" si="80"/>
        <v>0.4776135977812499</v>
      </c>
      <c r="G105" s="15">
        <f t="shared" si="81"/>
        <v>0.48477780174796858</v>
      </c>
      <c r="H105" s="13"/>
      <c r="I105" s="17">
        <f t="shared" si="82"/>
        <v>0.1</v>
      </c>
      <c r="J105" s="15">
        <f t="shared" si="83"/>
        <v>0.1</v>
      </c>
      <c r="K105" s="15">
        <f t="shared" si="84"/>
        <v>0.1</v>
      </c>
      <c r="L105" s="15">
        <f t="shared" si="85"/>
        <v>0.1</v>
      </c>
      <c r="M105" s="15">
        <f t="shared" si="86"/>
        <v>0.1</v>
      </c>
      <c r="N105" s="15">
        <f t="shared" si="87"/>
        <v>0.1</v>
      </c>
      <c r="O105" s="13"/>
      <c r="P105" s="13"/>
      <c r="Q105" s="13"/>
      <c r="R105" s="13"/>
      <c r="S105" s="13"/>
      <c r="T105" s="13"/>
      <c r="U105" s="13"/>
      <c r="V105" s="13"/>
    </row>
    <row r="106" spans="1:22" x14ac:dyDescent="0.25">
      <c r="A106" s="10" t="str">
        <f>$A$7</f>
        <v>Student services</v>
      </c>
      <c r="B106" s="17">
        <f t="shared" si="76"/>
        <v>0.45</v>
      </c>
      <c r="C106" s="15">
        <f t="shared" ref="C106:G108" si="88">B106*(1+$H$95)</f>
        <v>0.45674999999999999</v>
      </c>
      <c r="D106" s="15">
        <f t="shared" si="88"/>
        <v>0.46360124999999996</v>
      </c>
      <c r="E106" s="15">
        <f t="shared" si="88"/>
        <v>0.47055526874999992</v>
      </c>
      <c r="F106" s="15">
        <f t="shared" si="88"/>
        <v>0.4776135977812499</v>
      </c>
      <c r="G106" s="15">
        <f t="shared" si="88"/>
        <v>0.48477780174796858</v>
      </c>
      <c r="H106" s="13"/>
      <c r="I106" s="17">
        <f t="shared" si="82"/>
        <v>0.1</v>
      </c>
      <c r="J106" s="15">
        <f t="shared" ref="J106:N106" si="89">I106*(1+$O$95)</f>
        <v>0.1</v>
      </c>
      <c r="K106" s="15">
        <f t="shared" si="89"/>
        <v>0.1</v>
      </c>
      <c r="L106" s="15">
        <f t="shared" si="89"/>
        <v>0.1</v>
      </c>
      <c r="M106" s="15">
        <f t="shared" si="89"/>
        <v>0.1</v>
      </c>
      <c r="N106" s="15">
        <f t="shared" si="89"/>
        <v>0.1</v>
      </c>
      <c r="O106" s="13"/>
      <c r="P106" s="13"/>
      <c r="Q106" s="13"/>
      <c r="R106" s="13"/>
      <c r="S106" s="13"/>
      <c r="T106" s="13"/>
      <c r="U106" s="13"/>
      <c r="V106" s="13"/>
    </row>
    <row r="107" spans="1:22" x14ac:dyDescent="0.25">
      <c r="A107" s="10" t="str">
        <f>$A$8</f>
        <v>Institutional support</v>
      </c>
      <c r="B107" s="17">
        <f t="shared" si="76"/>
        <v>0.45</v>
      </c>
      <c r="C107" s="15">
        <f t="shared" si="88"/>
        <v>0.45674999999999999</v>
      </c>
      <c r="D107" s="15">
        <f t="shared" si="88"/>
        <v>0.46360124999999996</v>
      </c>
      <c r="E107" s="15">
        <f t="shared" si="88"/>
        <v>0.47055526874999992</v>
      </c>
      <c r="F107" s="15">
        <f t="shared" si="88"/>
        <v>0.4776135977812499</v>
      </c>
      <c r="G107" s="15">
        <f t="shared" si="88"/>
        <v>0.48477780174796858</v>
      </c>
      <c r="H107" s="13"/>
      <c r="I107" s="17">
        <f t="shared" si="82"/>
        <v>0.1</v>
      </c>
      <c r="J107" s="15">
        <f t="shared" ref="J107:N112" si="90">I107*(1+$O$95)</f>
        <v>0.1</v>
      </c>
      <c r="K107" s="15">
        <f t="shared" si="90"/>
        <v>0.1</v>
      </c>
      <c r="L107" s="15">
        <f t="shared" si="90"/>
        <v>0.1</v>
      </c>
      <c r="M107" s="15">
        <f t="shared" si="90"/>
        <v>0.1</v>
      </c>
      <c r="N107" s="15">
        <f t="shared" si="90"/>
        <v>0.1</v>
      </c>
      <c r="O107" s="13"/>
      <c r="P107" s="13"/>
      <c r="Q107" s="13"/>
      <c r="R107" s="13"/>
      <c r="S107" s="13"/>
      <c r="T107" s="13"/>
      <c r="U107" s="13"/>
      <c r="V107" s="13"/>
    </row>
    <row r="108" spans="1:22" x14ac:dyDescent="0.25">
      <c r="A108" s="10" t="str">
        <f>$A$9</f>
        <v>Auxiliary enterprises</v>
      </c>
      <c r="B108" s="17">
        <f t="shared" si="76"/>
        <v>0.45</v>
      </c>
      <c r="C108" s="15">
        <f t="shared" si="88"/>
        <v>0.45674999999999999</v>
      </c>
      <c r="D108" s="15">
        <f t="shared" si="88"/>
        <v>0.46360124999999996</v>
      </c>
      <c r="E108" s="15">
        <f t="shared" si="88"/>
        <v>0.47055526874999992</v>
      </c>
      <c r="F108" s="15">
        <f t="shared" si="88"/>
        <v>0.4776135977812499</v>
      </c>
      <c r="G108" s="15">
        <f t="shared" si="88"/>
        <v>0.48477780174796858</v>
      </c>
      <c r="H108" s="13"/>
      <c r="I108" s="17">
        <f t="shared" si="82"/>
        <v>0.1</v>
      </c>
      <c r="J108" s="15">
        <f t="shared" si="90"/>
        <v>0.1</v>
      </c>
      <c r="K108" s="15">
        <f t="shared" si="90"/>
        <v>0.1</v>
      </c>
      <c r="L108" s="15">
        <f t="shared" si="90"/>
        <v>0.1</v>
      </c>
      <c r="M108" s="15">
        <f t="shared" si="90"/>
        <v>0.1</v>
      </c>
      <c r="N108" s="15">
        <f t="shared" si="90"/>
        <v>0.1</v>
      </c>
      <c r="O108" s="13"/>
      <c r="P108" s="13"/>
      <c r="Q108" s="13"/>
      <c r="R108" s="13"/>
      <c r="S108" s="13"/>
      <c r="T108" s="13"/>
      <c r="U108" s="13"/>
      <c r="V108" s="13"/>
    </row>
    <row r="109" spans="1:22" x14ac:dyDescent="0.25">
      <c r="A109" s="10" t="str">
        <f>$A$10</f>
        <v>Hospital services</v>
      </c>
      <c r="B109" s="17">
        <f t="shared" si="76"/>
        <v>0.45</v>
      </c>
      <c r="C109" s="15">
        <f t="shared" ref="C109:C112" si="91">B109*(1+$H$95)</f>
        <v>0.45674999999999999</v>
      </c>
      <c r="D109" s="15">
        <f t="shared" ref="D109:D112" si="92">C109*(1+$H$95)</f>
        <v>0.46360124999999996</v>
      </c>
      <c r="E109" s="15">
        <f t="shared" ref="E109:E112" si="93">D109*(1+$H$95)</f>
        <v>0.47055526874999992</v>
      </c>
      <c r="F109" s="15">
        <f t="shared" ref="F109:F112" si="94">E109*(1+$H$95)</f>
        <v>0.4776135977812499</v>
      </c>
      <c r="G109" s="15">
        <f t="shared" ref="G109:G112" si="95">F109*(1+$H$95)</f>
        <v>0.48477780174796858</v>
      </c>
      <c r="H109" s="13"/>
      <c r="I109" s="17">
        <f t="shared" si="82"/>
        <v>0.1</v>
      </c>
      <c r="J109" s="15">
        <f t="shared" si="90"/>
        <v>0.1</v>
      </c>
      <c r="K109" s="15">
        <f t="shared" si="90"/>
        <v>0.1</v>
      </c>
      <c r="L109" s="15">
        <f t="shared" si="90"/>
        <v>0.1</v>
      </c>
      <c r="M109" s="15">
        <f t="shared" si="90"/>
        <v>0.1</v>
      </c>
      <c r="N109" s="15">
        <f t="shared" si="90"/>
        <v>0.1</v>
      </c>
      <c r="O109" s="13"/>
      <c r="P109" s="13"/>
      <c r="Q109" s="13"/>
      <c r="R109" s="13"/>
      <c r="S109" s="13"/>
      <c r="T109" s="13"/>
      <c r="U109" s="13"/>
      <c r="V109" s="13"/>
    </row>
    <row r="110" spans="1:22" x14ac:dyDescent="0.25">
      <c r="A110" s="10" t="str">
        <f>$A$11</f>
        <v>Independent operatons</v>
      </c>
      <c r="B110" s="17">
        <f t="shared" si="76"/>
        <v>0.45</v>
      </c>
      <c r="C110" s="15">
        <f t="shared" si="91"/>
        <v>0.45674999999999999</v>
      </c>
      <c r="D110" s="15">
        <f t="shared" si="92"/>
        <v>0.46360124999999996</v>
      </c>
      <c r="E110" s="15">
        <f t="shared" si="93"/>
        <v>0.47055526874999992</v>
      </c>
      <c r="F110" s="15">
        <f t="shared" si="94"/>
        <v>0.4776135977812499</v>
      </c>
      <c r="G110" s="15">
        <f t="shared" si="95"/>
        <v>0.48477780174796858</v>
      </c>
      <c r="H110" s="13"/>
      <c r="I110" s="17">
        <f t="shared" si="82"/>
        <v>0.1</v>
      </c>
      <c r="J110" s="15">
        <f t="shared" si="90"/>
        <v>0.1</v>
      </c>
      <c r="K110" s="15">
        <f t="shared" si="90"/>
        <v>0.1</v>
      </c>
      <c r="L110" s="15">
        <f t="shared" si="90"/>
        <v>0.1</v>
      </c>
      <c r="M110" s="15">
        <f t="shared" si="90"/>
        <v>0.1</v>
      </c>
      <c r="N110" s="15">
        <f t="shared" si="90"/>
        <v>0.1</v>
      </c>
      <c r="O110" s="13"/>
      <c r="P110" s="13"/>
      <c r="Q110" s="13"/>
      <c r="R110" s="13"/>
      <c r="S110" s="13"/>
      <c r="T110" s="13"/>
      <c r="U110" s="13"/>
      <c r="V110" s="13"/>
    </row>
    <row r="111" spans="1:22" x14ac:dyDescent="0.25">
      <c r="A111" s="10" t="str">
        <f>$A$12</f>
        <v>Other functional expenses and deductions</v>
      </c>
      <c r="B111" s="17">
        <f t="shared" si="76"/>
        <v>0.45</v>
      </c>
      <c r="C111" s="15">
        <f t="shared" si="91"/>
        <v>0.45674999999999999</v>
      </c>
      <c r="D111" s="15">
        <f t="shared" si="92"/>
        <v>0.46360124999999996</v>
      </c>
      <c r="E111" s="15">
        <f t="shared" si="93"/>
        <v>0.47055526874999992</v>
      </c>
      <c r="F111" s="15">
        <f t="shared" si="94"/>
        <v>0.4776135977812499</v>
      </c>
      <c r="G111" s="15">
        <f t="shared" si="95"/>
        <v>0.48477780174796858</v>
      </c>
      <c r="H111" s="13"/>
      <c r="I111" s="17">
        <f t="shared" si="82"/>
        <v>0.1</v>
      </c>
      <c r="J111" s="15">
        <f t="shared" si="90"/>
        <v>0.1</v>
      </c>
      <c r="K111" s="15">
        <f t="shared" si="90"/>
        <v>0.1</v>
      </c>
      <c r="L111" s="15">
        <f t="shared" si="90"/>
        <v>0.1</v>
      </c>
      <c r="M111" s="15">
        <f t="shared" si="90"/>
        <v>0.1</v>
      </c>
      <c r="N111" s="15">
        <f t="shared" si="90"/>
        <v>0.1</v>
      </c>
      <c r="O111" s="13"/>
      <c r="P111" s="13"/>
      <c r="Q111" s="13"/>
      <c r="R111" s="13"/>
      <c r="S111" s="13"/>
      <c r="T111" s="13"/>
      <c r="U111" s="13"/>
      <c r="V111" s="13"/>
    </row>
    <row r="112" spans="1:22" x14ac:dyDescent="0.25">
      <c r="A112" s="10" t="str">
        <f>$A$13</f>
        <v>Plant Operations</v>
      </c>
      <c r="B112" s="17">
        <f t="shared" si="76"/>
        <v>0.45</v>
      </c>
      <c r="C112" s="15">
        <f t="shared" si="91"/>
        <v>0.45674999999999999</v>
      </c>
      <c r="D112" s="15">
        <f t="shared" si="92"/>
        <v>0.46360124999999996</v>
      </c>
      <c r="E112" s="15">
        <f t="shared" si="93"/>
        <v>0.47055526874999992</v>
      </c>
      <c r="F112" s="15">
        <f t="shared" si="94"/>
        <v>0.4776135977812499</v>
      </c>
      <c r="G112" s="15">
        <f t="shared" si="95"/>
        <v>0.48477780174796858</v>
      </c>
      <c r="H112" s="13"/>
      <c r="I112" s="17">
        <f t="shared" si="82"/>
        <v>0.1</v>
      </c>
      <c r="J112" s="15">
        <f t="shared" si="90"/>
        <v>0.1</v>
      </c>
      <c r="K112" s="15">
        <f t="shared" si="90"/>
        <v>0.1</v>
      </c>
      <c r="L112" s="15">
        <f t="shared" si="90"/>
        <v>0.1</v>
      </c>
      <c r="M112" s="15">
        <f t="shared" si="90"/>
        <v>0.1</v>
      </c>
      <c r="N112" s="15">
        <f t="shared" si="90"/>
        <v>0.1</v>
      </c>
      <c r="O112" s="13"/>
      <c r="P112" s="13"/>
      <c r="Q112" s="13"/>
      <c r="R112" s="13"/>
      <c r="S112" s="13"/>
      <c r="T112" s="13"/>
      <c r="U112" s="13"/>
      <c r="V112" s="13"/>
    </row>
    <row r="113" spans="1:22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</row>
    <row r="114" spans="1:22" x14ac:dyDescent="0.25">
      <c r="A114" s="19" t="s">
        <v>14</v>
      </c>
      <c r="B114" s="138">
        <f>Summary!$B$31+1</f>
        <v>2022</v>
      </c>
      <c r="C114" s="138">
        <f>B114+1</f>
        <v>2023</v>
      </c>
      <c r="D114" s="138">
        <f t="shared" ref="D114:F114" si="96">C114+1</f>
        <v>2024</v>
      </c>
      <c r="E114" s="138">
        <f t="shared" si="96"/>
        <v>2025</v>
      </c>
      <c r="F114" s="138">
        <f t="shared" si="96"/>
        <v>2026</v>
      </c>
      <c r="G114" s="138">
        <f>F114+1</f>
        <v>2027</v>
      </c>
      <c r="H114" s="13"/>
      <c r="I114" s="138">
        <f>Summary!$B$31+1</f>
        <v>2022</v>
      </c>
      <c r="J114" s="138">
        <f>I114+1</f>
        <v>2023</v>
      </c>
      <c r="K114" s="138">
        <f t="shared" ref="K114" si="97">J114+1</f>
        <v>2024</v>
      </c>
      <c r="L114" s="138">
        <f t="shared" ref="L114" si="98">K114+1</f>
        <v>2025</v>
      </c>
      <c r="M114" s="138">
        <f t="shared" ref="M114" si="99">L114+1</f>
        <v>2026</v>
      </c>
      <c r="N114" s="138">
        <f>M114+1</f>
        <v>2027</v>
      </c>
      <c r="O114" s="13"/>
      <c r="P114" s="13"/>
      <c r="Q114" s="13"/>
      <c r="R114" s="13"/>
      <c r="S114" s="13"/>
      <c r="T114" s="13"/>
      <c r="U114" s="13"/>
      <c r="V114" s="13"/>
    </row>
    <row r="115" spans="1:22" x14ac:dyDescent="0.25">
      <c r="A115" s="10" t="str">
        <f>$A$3</f>
        <v>Instruction</v>
      </c>
      <c r="B115" s="4">
        <f t="shared" ref="B115:G118" si="100">B97*B37*B62+B102*B44*B68</f>
        <v>5940000</v>
      </c>
      <c r="C115" s="4">
        <f t="shared" si="100"/>
        <v>6053191.4863636363</v>
      </c>
      <c r="D115" s="4">
        <f t="shared" si="100"/>
        <v>6164663.782839545</v>
      </c>
      <c r="E115" s="4">
        <f t="shared" si="100"/>
        <v>6274236.7561244387</v>
      </c>
      <c r="F115" s="4">
        <f t="shared" si="100"/>
        <v>6596333.4109214582</v>
      </c>
      <c r="G115" s="4">
        <f t="shared" si="100"/>
        <v>6485438.7994213738</v>
      </c>
      <c r="H115" s="13"/>
      <c r="I115" s="4">
        <f t="shared" ref="I115:N118" si="101">I97*I37*I62+I102*I44*I68</f>
        <v>39000</v>
      </c>
      <c r="J115" s="4">
        <f t="shared" si="101"/>
        <v>52406.400000000009</v>
      </c>
      <c r="K115" s="4">
        <f t="shared" si="101"/>
        <v>66582.084000000003</v>
      </c>
      <c r="L115" s="4">
        <f t="shared" si="101"/>
        <v>81564.640006400004</v>
      </c>
      <c r="M115" s="4">
        <f t="shared" si="101"/>
        <v>97386.225497584004</v>
      </c>
      <c r="N115" s="4">
        <f t="shared" si="101"/>
        <v>114083.69794223328</v>
      </c>
      <c r="O115" s="13"/>
      <c r="P115" s="13"/>
      <c r="Q115" s="13"/>
      <c r="R115" s="13"/>
      <c r="S115" s="13"/>
      <c r="T115" s="13"/>
      <c r="U115" s="13"/>
      <c r="V115" s="13"/>
    </row>
    <row r="116" spans="1:22" x14ac:dyDescent="0.25">
      <c r="A116" s="10" t="str">
        <f>$A$4</f>
        <v>Research</v>
      </c>
      <c r="B116" s="4">
        <f t="shared" si="100"/>
        <v>540000</v>
      </c>
      <c r="C116" s="4">
        <f t="shared" si="100"/>
        <v>548897.23636363633</v>
      </c>
      <c r="D116" s="4">
        <f t="shared" si="100"/>
        <v>557749.72901454545</v>
      </c>
      <c r="E116" s="4">
        <f t="shared" si="100"/>
        <v>566744.99269970774</v>
      </c>
      <c r="F116" s="4">
        <f t="shared" si="100"/>
        <v>575680.31564121495</v>
      </c>
      <c r="G116" s="4">
        <f t="shared" si="100"/>
        <v>584540.25711443915</v>
      </c>
      <c r="H116" s="13"/>
      <c r="I116" s="4">
        <f t="shared" si="101"/>
        <v>0</v>
      </c>
      <c r="J116" s="4">
        <f t="shared" si="101"/>
        <v>0</v>
      </c>
      <c r="K116" s="4">
        <f t="shared" si="101"/>
        <v>0</v>
      </c>
      <c r="L116" s="4">
        <f t="shared" si="101"/>
        <v>0</v>
      </c>
      <c r="M116" s="4">
        <f t="shared" si="101"/>
        <v>0</v>
      </c>
      <c r="N116" s="4">
        <f t="shared" si="101"/>
        <v>0</v>
      </c>
      <c r="O116" s="13"/>
      <c r="P116" s="13"/>
      <c r="Q116" s="13"/>
      <c r="R116" s="13"/>
      <c r="S116" s="13"/>
      <c r="T116" s="13"/>
      <c r="U116" s="13"/>
      <c r="V116" s="13"/>
    </row>
    <row r="117" spans="1:22" x14ac:dyDescent="0.25">
      <c r="A117" s="10" t="str">
        <f>$A$5</f>
        <v>Public service</v>
      </c>
      <c r="B117" s="4">
        <f t="shared" si="100"/>
        <v>540000</v>
      </c>
      <c r="C117" s="4">
        <f t="shared" si="100"/>
        <v>548897.23636363633</v>
      </c>
      <c r="D117" s="4">
        <f t="shared" si="100"/>
        <v>557749.72901454545</v>
      </c>
      <c r="E117" s="4">
        <f t="shared" si="100"/>
        <v>566744.99269970774</v>
      </c>
      <c r="F117" s="4">
        <f t="shared" si="100"/>
        <v>575680.31564121495</v>
      </c>
      <c r="G117" s="4">
        <f t="shared" si="100"/>
        <v>584540.25711443915</v>
      </c>
      <c r="H117" s="13"/>
      <c r="I117" s="4">
        <f t="shared" si="101"/>
        <v>0</v>
      </c>
      <c r="J117" s="4">
        <f t="shared" si="101"/>
        <v>0</v>
      </c>
      <c r="K117" s="4">
        <f t="shared" si="101"/>
        <v>0</v>
      </c>
      <c r="L117" s="4">
        <f t="shared" si="101"/>
        <v>0</v>
      </c>
      <c r="M117" s="4">
        <f t="shared" si="101"/>
        <v>0</v>
      </c>
      <c r="N117" s="4">
        <f t="shared" si="101"/>
        <v>0</v>
      </c>
      <c r="O117" s="13"/>
      <c r="P117" s="13"/>
      <c r="Q117" s="13"/>
      <c r="R117" s="13"/>
      <c r="S117" s="13"/>
      <c r="T117" s="13"/>
      <c r="U117" s="13"/>
      <c r="V117" s="13"/>
    </row>
    <row r="118" spans="1:22" x14ac:dyDescent="0.25">
      <c r="A118" s="10" t="str">
        <f>$A$6</f>
        <v>Academic support</v>
      </c>
      <c r="B118" s="4">
        <f t="shared" si="100"/>
        <v>1125000</v>
      </c>
      <c r="C118" s="4">
        <f t="shared" si="100"/>
        <v>1156574.0454545454</v>
      </c>
      <c r="D118" s="4">
        <f t="shared" si="100"/>
        <v>1189021.7273931818</v>
      </c>
      <c r="E118" s="4">
        <f t="shared" si="100"/>
        <v>1222619.6880300159</v>
      </c>
      <c r="F118" s="4">
        <f t="shared" si="100"/>
        <v>1257158.7066301119</v>
      </c>
      <c r="G118" s="4">
        <f t="shared" si="100"/>
        <v>1292665.6587556142</v>
      </c>
      <c r="H118" s="13"/>
      <c r="I118" s="4">
        <f t="shared" si="101"/>
        <v>36000</v>
      </c>
      <c r="J118" s="4">
        <f t="shared" si="101"/>
        <v>36585.600000000006</v>
      </c>
      <c r="K118" s="4">
        <f t="shared" si="101"/>
        <v>37173.936000000009</v>
      </c>
      <c r="L118" s="4">
        <f t="shared" si="101"/>
        <v>37778.632025600011</v>
      </c>
      <c r="M118" s="4">
        <f t="shared" si="101"/>
        <v>38386.153270336021</v>
      </c>
      <c r="N118" s="4">
        <f t="shared" si="101"/>
        <v>38996.125020933141</v>
      </c>
      <c r="O118" s="13"/>
      <c r="P118" s="13"/>
      <c r="Q118" s="13"/>
      <c r="R118" s="13"/>
      <c r="S118" s="13"/>
      <c r="T118" s="13"/>
      <c r="U118" s="13"/>
      <c r="V118" s="13"/>
    </row>
    <row r="119" spans="1:22" x14ac:dyDescent="0.25">
      <c r="A119" s="10" t="str">
        <f>$A$7</f>
        <v>Student services</v>
      </c>
      <c r="B119" s="6">
        <f t="shared" ref="B119:G125" si="102">B106*B48*B72</f>
        <v>810000</v>
      </c>
      <c r="C119" s="6">
        <f t="shared" si="102"/>
        <v>823345.85454545449</v>
      </c>
      <c r="D119" s="6">
        <f t="shared" si="102"/>
        <v>923444.12681181799</v>
      </c>
      <c r="E119" s="6">
        <f t="shared" si="102"/>
        <v>938337.22847923299</v>
      </c>
      <c r="F119" s="6">
        <f t="shared" si="102"/>
        <v>953131.08863238874</v>
      </c>
      <c r="G119" s="6">
        <f t="shared" si="102"/>
        <v>967800.14267532132</v>
      </c>
      <c r="H119" s="13"/>
      <c r="I119" s="6">
        <f t="shared" ref="I119:N125" si="103">I106*I48*I72</f>
        <v>36000</v>
      </c>
      <c r="J119" s="6">
        <f t="shared" si="103"/>
        <v>36585.600000000006</v>
      </c>
      <c r="K119" s="6">
        <f t="shared" si="103"/>
        <v>37173.936000000009</v>
      </c>
      <c r="L119" s="6">
        <f t="shared" si="103"/>
        <v>37778.632025600011</v>
      </c>
      <c r="M119" s="6">
        <f t="shared" si="103"/>
        <v>38386.153270336021</v>
      </c>
      <c r="N119" s="6">
        <f t="shared" si="103"/>
        <v>38996.125020933141</v>
      </c>
      <c r="O119" s="13"/>
      <c r="P119" s="13"/>
      <c r="Q119" s="13"/>
      <c r="R119" s="13"/>
      <c r="S119" s="13"/>
      <c r="T119" s="13"/>
      <c r="U119" s="13"/>
      <c r="V119" s="13"/>
    </row>
    <row r="120" spans="1:22" x14ac:dyDescent="0.25">
      <c r="A120" s="10" t="str">
        <f>$A$8</f>
        <v>Institutional support</v>
      </c>
      <c r="B120" s="6">
        <f t="shared" si="102"/>
        <v>540000</v>
      </c>
      <c r="C120" s="6">
        <f t="shared" si="102"/>
        <v>548897.23636363633</v>
      </c>
      <c r="D120" s="6">
        <f t="shared" si="102"/>
        <v>557749.72901454545</v>
      </c>
      <c r="E120" s="6">
        <f t="shared" si="102"/>
        <v>566744.99269970774</v>
      </c>
      <c r="F120" s="6">
        <f t="shared" si="102"/>
        <v>575680.31564121495</v>
      </c>
      <c r="G120" s="6">
        <f t="shared" si="102"/>
        <v>584540.25711443915</v>
      </c>
      <c r="H120" s="13"/>
      <c r="I120" s="6">
        <f t="shared" si="103"/>
        <v>9000</v>
      </c>
      <c r="J120" s="6">
        <f t="shared" si="103"/>
        <v>9146.4000000000015</v>
      </c>
      <c r="K120" s="6">
        <f t="shared" si="103"/>
        <v>9293.4840000000022</v>
      </c>
      <c r="L120" s="6">
        <f t="shared" si="103"/>
        <v>9444.6580064000027</v>
      </c>
      <c r="M120" s="6">
        <f t="shared" si="103"/>
        <v>9596.5383175840052</v>
      </c>
      <c r="N120" s="6">
        <f t="shared" si="103"/>
        <v>9749.0312552332853</v>
      </c>
      <c r="O120" s="13"/>
      <c r="P120" s="13"/>
      <c r="Q120" s="13"/>
      <c r="R120" s="13"/>
      <c r="S120" s="13"/>
      <c r="T120" s="13"/>
      <c r="U120" s="13"/>
      <c r="V120" s="13"/>
    </row>
    <row r="121" spans="1:22" x14ac:dyDescent="0.25">
      <c r="A121" s="10" t="str">
        <f>$A$9</f>
        <v>Auxiliary enterprises</v>
      </c>
      <c r="B121" s="6">
        <f t="shared" si="102"/>
        <v>270000</v>
      </c>
      <c r="C121" s="6">
        <f t="shared" si="102"/>
        <v>274448.61818181816</v>
      </c>
      <c r="D121" s="6">
        <f t="shared" si="102"/>
        <v>278874.86450727272</v>
      </c>
      <c r="E121" s="6">
        <f t="shared" si="102"/>
        <v>283372.49634985387</v>
      </c>
      <c r="F121" s="6">
        <f t="shared" si="102"/>
        <v>287840.15782060748</v>
      </c>
      <c r="G121" s="6">
        <f t="shared" si="102"/>
        <v>292270.12855721958</v>
      </c>
      <c r="H121" s="13"/>
      <c r="I121" s="6">
        <f t="shared" si="103"/>
        <v>36000</v>
      </c>
      <c r="J121" s="6">
        <f t="shared" si="103"/>
        <v>36585.600000000006</v>
      </c>
      <c r="K121" s="6">
        <f t="shared" si="103"/>
        <v>37173.936000000009</v>
      </c>
      <c r="L121" s="6">
        <f t="shared" si="103"/>
        <v>37778.632025600011</v>
      </c>
      <c r="M121" s="6">
        <f t="shared" si="103"/>
        <v>38386.153270336021</v>
      </c>
      <c r="N121" s="6">
        <f t="shared" si="103"/>
        <v>38996.125020933141</v>
      </c>
      <c r="O121" s="13"/>
      <c r="P121" s="13"/>
      <c r="Q121" s="13"/>
      <c r="R121" s="13"/>
      <c r="S121" s="13"/>
      <c r="T121" s="13"/>
      <c r="U121" s="13"/>
      <c r="V121" s="13"/>
    </row>
    <row r="122" spans="1:22" x14ac:dyDescent="0.25">
      <c r="A122" s="10" t="str">
        <f>$A$10</f>
        <v>Hospital services</v>
      </c>
      <c r="B122" s="6">
        <f t="shared" si="102"/>
        <v>0</v>
      </c>
      <c r="C122" s="6">
        <f t="shared" si="102"/>
        <v>0</v>
      </c>
      <c r="D122" s="6">
        <f t="shared" si="102"/>
        <v>0</v>
      </c>
      <c r="E122" s="6">
        <f t="shared" si="102"/>
        <v>0</v>
      </c>
      <c r="F122" s="6">
        <f t="shared" si="102"/>
        <v>0</v>
      </c>
      <c r="G122" s="6">
        <f t="shared" si="102"/>
        <v>0</v>
      </c>
      <c r="H122" s="13"/>
      <c r="I122" s="6">
        <f t="shared" si="103"/>
        <v>0</v>
      </c>
      <c r="J122" s="6">
        <f t="shared" si="103"/>
        <v>0</v>
      </c>
      <c r="K122" s="6">
        <f t="shared" si="103"/>
        <v>0</v>
      </c>
      <c r="L122" s="6">
        <f t="shared" si="103"/>
        <v>0</v>
      </c>
      <c r="M122" s="6">
        <f t="shared" si="103"/>
        <v>0</v>
      </c>
      <c r="N122" s="6">
        <f t="shared" si="103"/>
        <v>0</v>
      </c>
      <c r="O122" s="13"/>
      <c r="P122" s="13"/>
      <c r="Q122" s="13"/>
      <c r="R122" s="13"/>
      <c r="S122" s="13"/>
      <c r="T122" s="13"/>
      <c r="U122" s="13"/>
      <c r="V122" s="13"/>
    </row>
    <row r="123" spans="1:22" x14ac:dyDescent="0.25">
      <c r="A123" s="10" t="str">
        <f>$A$11</f>
        <v>Independent operatons</v>
      </c>
      <c r="B123" s="6">
        <f t="shared" si="102"/>
        <v>0</v>
      </c>
      <c r="C123" s="6">
        <f t="shared" si="102"/>
        <v>0</v>
      </c>
      <c r="D123" s="6">
        <f t="shared" si="102"/>
        <v>0</v>
      </c>
      <c r="E123" s="6">
        <f t="shared" si="102"/>
        <v>0</v>
      </c>
      <c r="F123" s="6">
        <f t="shared" si="102"/>
        <v>0</v>
      </c>
      <c r="G123" s="6">
        <f t="shared" si="102"/>
        <v>0</v>
      </c>
      <c r="H123" s="13"/>
      <c r="I123" s="6">
        <f t="shared" si="103"/>
        <v>0</v>
      </c>
      <c r="J123" s="6">
        <f t="shared" si="103"/>
        <v>0</v>
      </c>
      <c r="K123" s="6">
        <f t="shared" si="103"/>
        <v>0</v>
      </c>
      <c r="L123" s="6">
        <f t="shared" si="103"/>
        <v>0</v>
      </c>
      <c r="M123" s="6">
        <f t="shared" si="103"/>
        <v>0</v>
      </c>
      <c r="N123" s="6">
        <f t="shared" si="103"/>
        <v>0</v>
      </c>
      <c r="O123" s="13"/>
      <c r="P123" s="13"/>
      <c r="Q123" s="13"/>
      <c r="R123" s="13"/>
      <c r="S123" s="13"/>
      <c r="T123" s="13"/>
      <c r="U123" s="13"/>
      <c r="V123" s="13"/>
    </row>
    <row r="124" spans="1:22" x14ac:dyDescent="0.25">
      <c r="A124" s="10" t="str">
        <f>$A$12</f>
        <v>Other functional expenses and deductions</v>
      </c>
      <c r="B124" s="6">
        <f t="shared" si="102"/>
        <v>0</v>
      </c>
      <c r="C124" s="6">
        <f t="shared" si="102"/>
        <v>0</v>
      </c>
      <c r="D124" s="6">
        <f t="shared" si="102"/>
        <v>0</v>
      </c>
      <c r="E124" s="6">
        <f t="shared" si="102"/>
        <v>0</v>
      </c>
      <c r="F124" s="6">
        <f t="shared" si="102"/>
        <v>0</v>
      </c>
      <c r="G124" s="6">
        <f t="shared" si="102"/>
        <v>0</v>
      </c>
      <c r="H124" s="13"/>
      <c r="I124" s="6">
        <f t="shared" si="103"/>
        <v>0</v>
      </c>
      <c r="J124" s="6">
        <f t="shared" si="103"/>
        <v>0</v>
      </c>
      <c r="K124" s="6">
        <f t="shared" si="103"/>
        <v>0</v>
      </c>
      <c r="L124" s="6">
        <f t="shared" si="103"/>
        <v>0</v>
      </c>
      <c r="M124" s="6">
        <f t="shared" si="103"/>
        <v>0</v>
      </c>
      <c r="N124" s="6">
        <f t="shared" si="103"/>
        <v>0</v>
      </c>
      <c r="O124" s="13"/>
      <c r="P124" s="13"/>
      <c r="Q124" s="13"/>
      <c r="R124" s="13"/>
      <c r="S124" s="13"/>
      <c r="T124" s="13"/>
      <c r="U124" s="13"/>
      <c r="V124" s="13"/>
    </row>
    <row r="125" spans="1:22" x14ac:dyDescent="0.25">
      <c r="A125" s="10" t="str">
        <f>$A$13</f>
        <v>Plant Operations</v>
      </c>
      <c r="B125" s="6">
        <f t="shared" si="102"/>
        <v>540000</v>
      </c>
      <c r="C125" s="6">
        <f t="shared" si="102"/>
        <v>548897.23636363633</v>
      </c>
      <c r="D125" s="6">
        <f t="shared" si="102"/>
        <v>557749.72901454545</v>
      </c>
      <c r="E125" s="6">
        <f t="shared" si="102"/>
        <v>566744.99269970774</v>
      </c>
      <c r="F125" s="6">
        <f t="shared" si="102"/>
        <v>575680.31564121495</v>
      </c>
      <c r="G125" s="6">
        <f t="shared" si="102"/>
        <v>584540.25711443915</v>
      </c>
      <c r="H125" s="13"/>
      <c r="I125" s="6">
        <f t="shared" si="103"/>
        <v>9000</v>
      </c>
      <c r="J125" s="6">
        <f t="shared" si="103"/>
        <v>9146.4000000000015</v>
      </c>
      <c r="K125" s="6">
        <f t="shared" si="103"/>
        <v>13112.724000000002</v>
      </c>
      <c r="L125" s="6">
        <f t="shared" si="103"/>
        <v>13326.024310400004</v>
      </c>
      <c r="M125" s="6">
        <f t="shared" si="103"/>
        <v>13540.321187824004</v>
      </c>
      <c r="N125" s="6">
        <f t="shared" si="103"/>
        <v>13755.482456014084</v>
      </c>
      <c r="O125" s="13"/>
      <c r="P125" s="13"/>
      <c r="Q125" s="13"/>
      <c r="R125" s="13"/>
      <c r="S125" s="13"/>
      <c r="T125" s="13"/>
      <c r="U125" s="13"/>
      <c r="V125" s="13"/>
    </row>
    <row r="126" spans="1:22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</row>
    <row r="127" spans="1:22" x14ac:dyDescent="0.25">
      <c r="A127" s="19" t="s">
        <v>76</v>
      </c>
      <c r="B127" s="138">
        <f>Summary!$B$31+1</f>
        <v>2022</v>
      </c>
      <c r="C127" s="7">
        <f>B127+1</f>
        <v>2023</v>
      </c>
      <c r="D127" s="7">
        <f>C127+1</f>
        <v>2024</v>
      </c>
      <c r="E127" s="7">
        <f>D127+1</f>
        <v>2025</v>
      </c>
      <c r="F127" s="7">
        <f>E127+1</f>
        <v>2026</v>
      </c>
      <c r="G127" s="7">
        <f>F127+1</f>
        <v>2027</v>
      </c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</row>
    <row r="128" spans="1:22" x14ac:dyDescent="0.25">
      <c r="A128" s="10" t="str">
        <f>$A$3</f>
        <v>Instruction</v>
      </c>
      <c r="B128" s="16"/>
      <c r="C128" s="25">
        <v>0</v>
      </c>
      <c r="D128" s="25">
        <v>50000</v>
      </c>
      <c r="E128" s="25">
        <v>0</v>
      </c>
      <c r="F128" s="25">
        <v>0</v>
      </c>
      <c r="G128" s="25">
        <v>0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</row>
    <row r="129" spans="1:22" x14ac:dyDescent="0.25">
      <c r="A129" s="10" t="str">
        <f>$A$4</f>
        <v>Research</v>
      </c>
      <c r="B129" s="16"/>
      <c r="C129" s="25"/>
      <c r="D129" s="25"/>
      <c r="E129" s="25"/>
      <c r="F129" s="25"/>
      <c r="G129" s="25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</row>
    <row r="130" spans="1:22" x14ac:dyDescent="0.25">
      <c r="A130" s="10" t="str">
        <f>$A$5</f>
        <v>Public service</v>
      </c>
      <c r="B130" s="16"/>
      <c r="C130" s="25"/>
      <c r="D130" s="25"/>
      <c r="E130" s="25"/>
      <c r="F130" s="25"/>
      <c r="G130" s="25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</row>
    <row r="131" spans="1:22" x14ac:dyDescent="0.25">
      <c r="A131" s="10" t="str">
        <f>$A$6</f>
        <v>Academic support</v>
      </c>
      <c r="B131" s="16"/>
      <c r="C131" s="25">
        <v>0</v>
      </c>
      <c r="D131" s="25">
        <v>0</v>
      </c>
      <c r="E131" s="25">
        <v>0</v>
      </c>
      <c r="F131" s="25">
        <v>0</v>
      </c>
      <c r="G131" s="25">
        <v>0</v>
      </c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</row>
    <row r="132" spans="1:22" x14ac:dyDescent="0.25">
      <c r="A132" s="10" t="str">
        <f>$A$7</f>
        <v>Student services</v>
      </c>
      <c r="B132" s="16"/>
      <c r="C132" s="25">
        <v>0</v>
      </c>
      <c r="D132" s="25">
        <v>0</v>
      </c>
      <c r="E132" s="25">
        <v>0</v>
      </c>
      <c r="F132" s="25">
        <v>0</v>
      </c>
      <c r="G132" s="25">
        <v>0</v>
      </c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</row>
    <row r="133" spans="1:22" x14ac:dyDescent="0.25">
      <c r="A133" s="10" t="str">
        <f>$A$8</f>
        <v>Institutional support</v>
      </c>
      <c r="B133" s="16"/>
      <c r="C133" s="25">
        <v>0</v>
      </c>
      <c r="D133" s="25">
        <v>0</v>
      </c>
      <c r="E133" s="25">
        <v>0</v>
      </c>
      <c r="F133" s="25">
        <v>0</v>
      </c>
      <c r="G133" s="25">
        <v>0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</row>
    <row r="134" spans="1:22" x14ac:dyDescent="0.25">
      <c r="A134" s="10" t="str">
        <f>$A$9</f>
        <v>Auxiliary enterprises</v>
      </c>
      <c r="B134" s="16"/>
      <c r="C134" s="25"/>
      <c r="D134" s="25"/>
      <c r="E134" s="25"/>
      <c r="F134" s="25"/>
      <c r="G134" s="25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</row>
    <row r="135" spans="1:22" x14ac:dyDescent="0.25">
      <c r="A135" s="10" t="str">
        <f>$A$10</f>
        <v>Hospital services</v>
      </c>
      <c r="B135" s="16"/>
      <c r="C135" s="25"/>
      <c r="D135" s="25"/>
      <c r="E135" s="25"/>
      <c r="F135" s="25"/>
      <c r="G135" s="25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</row>
    <row r="136" spans="1:22" x14ac:dyDescent="0.25">
      <c r="A136" s="10" t="str">
        <f>$A$11</f>
        <v>Independent operatons</v>
      </c>
      <c r="B136" s="16"/>
      <c r="C136" s="25"/>
      <c r="D136" s="25"/>
      <c r="E136" s="25"/>
      <c r="F136" s="25"/>
      <c r="G136" s="25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</row>
    <row r="137" spans="1:22" x14ac:dyDescent="0.25">
      <c r="A137" s="10" t="str">
        <f>$A$12</f>
        <v>Other functional expenses and deductions</v>
      </c>
      <c r="B137" s="16"/>
      <c r="C137" s="25"/>
      <c r="D137" s="25"/>
      <c r="E137" s="25"/>
      <c r="F137" s="25"/>
      <c r="G137" s="25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</row>
    <row r="138" spans="1:22" x14ac:dyDescent="0.25">
      <c r="A138" s="10" t="str">
        <f>$A$13</f>
        <v>Plant Operations</v>
      </c>
      <c r="B138" s="16"/>
      <c r="C138" s="25">
        <v>0</v>
      </c>
      <c r="D138" s="25">
        <v>0</v>
      </c>
      <c r="E138" s="25">
        <v>200000</v>
      </c>
      <c r="F138" s="25">
        <v>0</v>
      </c>
      <c r="G138" s="25">
        <v>0</v>
      </c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</row>
    <row r="139" spans="1:22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</row>
    <row r="140" spans="1:22" x14ac:dyDescent="0.25">
      <c r="A140" s="13"/>
      <c r="B140" s="13"/>
      <c r="C140" s="13"/>
      <c r="D140" s="13"/>
      <c r="E140" s="13"/>
      <c r="F140" s="13"/>
      <c r="G140" s="8"/>
      <c r="H140" s="12" t="s">
        <v>34</v>
      </c>
      <c r="I140" s="8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</row>
    <row r="141" spans="1:22" x14ac:dyDescent="0.25">
      <c r="A141" s="19" t="s">
        <v>15</v>
      </c>
      <c r="B141" s="138">
        <f>Summary!$B$31+1</f>
        <v>2022</v>
      </c>
      <c r="C141" s="138">
        <f>B141+1</f>
        <v>2023</v>
      </c>
      <c r="D141" s="138">
        <f>C141+1</f>
        <v>2024</v>
      </c>
      <c r="E141" s="138">
        <f>D141+1</f>
        <v>2025</v>
      </c>
      <c r="F141" s="138">
        <f>E141+1</f>
        <v>2026</v>
      </c>
      <c r="G141" s="138">
        <f>F141+1</f>
        <v>2027</v>
      </c>
      <c r="H141" s="131">
        <f>Summary!B20</f>
        <v>0.02</v>
      </c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</row>
    <row r="142" spans="1:22" x14ac:dyDescent="0.25">
      <c r="A142" s="10" t="str">
        <f>$A$3</f>
        <v>Instruction</v>
      </c>
      <c r="B142" s="6">
        <f>H3</f>
        <v>600000</v>
      </c>
      <c r="C142" s="6">
        <f t="shared" ref="C142:G146" si="104">B142*(1+$H$141+$O$3)+C128</f>
        <v>624000</v>
      </c>
      <c r="D142" s="6">
        <f t="shared" si="104"/>
        <v>698960</v>
      </c>
      <c r="E142" s="6">
        <f t="shared" si="104"/>
        <v>726918.4</v>
      </c>
      <c r="F142" s="6">
        <f t="shared" si="104"/>
        <v>755995.13600000006</v>
      </c>
      <c r="G142" s="6">
        <f t="shared" si="104"/>
        <v>786234.94144000008</v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</row>
    <row r="143" spans="1:22" x14ac:dyDescent="0.25">
      <c r="A143" s="10" t="str">
        <f>$A$4</f>
        <v>Research</v>
      </c>
      <c r="B143" s="6">
        <f>H4</f>
        <v>0</v>
      </c>
      <c r="C143" s="6">
        <f t="shared" si="104"/>
        <v>0</v>
      </c>
      <c r="D143" s="6">
        <f t="shared" si="104"/>
        <v>0</v>
      </c>
      <c r="E143" s="6">
        <f t="shared" si="104"/>
        <v>0</v>
      </c>
      <c r="F143" s="6">
        <f t="shared" si="104"/>
        <v>0</v>
      </c>
      <c r="G143" s="6">
        <f t="shared" si="104"/>
        <v>0</v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</row>
    <row r="144" spans="1:22" x14ac:dyDescent="0.25">
      <c r="A144" s="10" t="str">
        <f>$A$5</f>
        <v>Public service</v>
      </c>
      <c r="B144" s="6">
        <f>H5</f>
        <v>0</v>
      </c>
      <c r="C144" s="6">
        <f t="shared" si="104"/>
        <v>0</v>
      </c>
      <c r="D144" s="6">
        <f t="shared" si="104"/>
        <v>0</v>
      </c>
      <c r="E144" s="6">
        <f t="shared" si="104"/>
        <v>0</v>
      </c>
      <c r="F144" s="6">
        <f t="shared" si="104"/>
        <v>0</v>
      </c>
      <c r="G144" s="6">
        <f t="shared" si="104"/>
        <v>0</v>
      </c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</row>
    <row r="145" spans="1:22" x14ac:dyDescent="0.25">
      <c r="A145" s="10" t="str">
        <f>$A$6</f>
        <v>Academic support</v>
      </c>
      <c r="B145" s="6">
        <f>H6</f>
        <v>500000</v>
      </c>
      <c r="C145" s="6">
        <f t="shared" si="104"/>
        <v>520000</v>
      </c>
      <c r="D145" s="6">
        <f t="shared" si="104"/>
        <v>540800</v>
      </c>
      <c r="E145" s="6">
        <f t="shared" si="104"/>
        <v>562432</v>
      </c>
      <c r="F145" s="6">
        <f t="shared" si="104"/>
        <v>584929.28000000003</v>
      </c>
      <c r="G145" s="6">
        <f t="shared" si="104"/>
        <v>608326.45120000001</v>
      </c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</row>
    <row r="146" spans="1:22" x14ac:dyDescent="0.25">
      <c r="A146" s="10" t="str">
        <f>$A$7</f>
        <v>Student services</v>
      </c>
      <c r="B146" s="6">
        <f>H7</f>
        <v>200000</v>
      </c>
      <c r="C146" s="6">
        <f t="shared" si="104"/>
        <v>208000</v>
      </c>
      <c r="D146" s="6">
        <f t="shared" si="104"/>
        <v>216320</v>
      </c>
      <c r="E146" s="6">
        <f t="shared" si="104"/>
        <v>224972.80000000002</v>
      </c>
      <c r="F146" s="6">
        <f t="shared" si="104"/>
        <v>233971.71200000003</v>
      </c>
      <c r="G146" s="6">
        <f t="shared" si="104"/>
        <v>243330.58048000003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</row>
    <row r="147" spans="1:22" x14ac:dyDescent="0.25">
      <c r="A147" s="10" t="str">
        <f>$A$8</f>
        <v>Institutional support</v>
      </c>
      <c r="B147" s="6">
        <f>H8+Cash!B23</f>
        <v>200000</v>
      </c>
      <c r="C147" s="6">
        <f>B147*(1+$H$141+$O$3)+C133+Cash!C23</f>
        <v>208000</v>
      </c>
      <c r="D147" s="6">
        <f>C147*(1+$H$141+$O$3)+D133+Cash!D23</f>
        <v>216320</v>
      </c>
      <c r="E147" s="6">
        <f>D147*(1+$H$141+$O$3)+E133+Cash!E23</f>
        <v>224972.80000000002</v>
      </c>
      <c r="F147" s="6">
        <f>E147*(1+$H$141+$O$3)+F133+Cash!F23</f>
        <v>233971.71200000003</v>
      </c>
      <c r="G147" s="6">
        <f>F147*(1+$H$141+$O$3)+G133+Cash!G23</f>
        <v>423330.58048</v>
      </c>
      <c r="H147" s="13" t="s">
        <v>144</v>
      </c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</row>
    <row r="148" spans="1:22" x14ac:dyDescent="0.25">
      <c r="A148" s="10" t="str">
        <f>$A$9</f>
        <v>Auxiliary enterprises</v>
      </c>
      <c r="B148" s="6">
        <f>H9</f>
        <v>200000</v>
      </c>
      <c r="C148" s="6">
        <f t="shared" ref="C148:G152" si="105">B148*(1+$H$141+$O$3)+C134</f>
        <v>208000</v>
      </c>
      <c r="D148" s="6">
        <f t="shared" si="105"/>
        <v>216320</v>
      </c>
      <c r="E148" s="6">
        <f t="shared" si="105"/>
        <v>224972.80000000002</v>
      </c>
      <c r="F148" s="6">
        <f t="shared" si="105"/>
        <v>233971.71200000003</v>
      </c>
      <c r="G148" s="6">
        <f t="shared" si="105"/>
        <v>243330.58048000003</v>
      </c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</row>
    <row r="149" spans="1:22" x14ac:dyDescent="0.25">
      <c r="A149" s="10" t="str">
        <f>$A$10</f>
        <v>Hospital services</v>
      </c>
      <c r="B149" s="6">
        <f>H10</f>
        <v>0</v>
      </c>
      <c r="C149" s="6">
        <f t="shared" si="105"/>
        <v>0</v>
      </c>
      <c r="D149" s="6">
        <f t="shared" si="105"/>
        <v>0</v>
      </c>
      <c r="E149" s="6">
        <f t="shared" si="105"/>
        <v>0</v>
      </c>
      <c r="F149" s="6">
        <f t="shared" si="105"/>
        <v>0</v>
      </c>
      <c r="G149" s="6">
        <f t="shared" si="105"/>
        <v>0</v>
      </c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</row>
    <row r="150" spans="1:22" x14ac:dyDescent="0.25">
      <c r="A150" s="10" t="str">
        <f>$A$11</f>
        <v>Independent operatons</v>
      </c>
      <c r="B150" s="6">
        <f>H11</f>
        <v>0</v>
      </c>
      <c r="C150" s="6">
        <f t="shared" si="105"/>
        <v>0</v>
      </c>
      <c r="D150" s="6">
        <f t="shared" si="105"/>
        <v>0</v>
      </c>
      <c r="E150" s="6">
        <f t="shared" si="105"/>
        <v>0</v>
      </c>
      <c r="F150" s="6">
        <f t="shared" si="105"/>
        <v>0</v>
      </c>
      <c r="G150" s="6">
        <f t="shared" si="105"/>
        <v>0</v>
      </c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</row>
    <row r="151" spans="1:22" x14ac:dyDescent="0.25">
      <c r="A151" s="10" t="str">
        <f>$A$12</f>
        <v>Other functional expenses and deductions</v>
      </c>
      <c r="B151" s="6">
        <f>H12</f>
        <v>0</v>
      </c>
      <c r="C151" s="6">
        <f t="shared" si="105"/>
        <v>0</v>
      </c>
      <c r="D151" s="6">
        <f t="shared" si="105"/>
        <v>0</v>
      </c>
      <c r="E151" s="6">
        <f t="shared" si="105"/>
        <v>0</v>
      </c>
      <c r="F151" s="6">
        <f t="shared" si="105"/>
        <v>0</v>
      </c>
      <c r="G151" s="6">
        <f t="shared" si="105"/>
        <v>0</v>
      </c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</row>
    <row r="152" spans="1:22" x14ac:dyDescent="0.25">
      <c r="A152" s="10" t="str">
        <f>$A$13</f>
        <v>Plant Operations</v>
      </c>
      <c r="B152" s="6">
        <f>H13</f>
        <v>1200000</v>
      </c>
      <c r="C152" s="6">
        <f t="shared" si="105"/>
        <v>1248000</v>
      </c>
      <c r="D152" s="6">
        <f t="shared" si="105"/>
        <v>1297920</v>
      </c>
      <c r="E152" s="6">
        <f t="shared" si="105"/>
        <v>1549836.8</v>
      </c>
      <c r="F152" s="6">
        <f t="shared" si="105"/>
        <v>1611830.2720000001</v>
      </c>
      <c r="G152" s="6">
        <f t="shared" si="105"/>
        <v>1676303.4828800003</v>
      </c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</row>
    <row r="153" spans="1:22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</row>
    <row r="154" spans="1:22" x14ac:dyDescent="0.25">
      <c r="A154" s="19" t="s">
        <v>229</v>
      </c>
      <c r="B154" s="138">
        <f>Summary!$B$31+1</f>
        <v>2022</v>
      </c>
      <c r="C154" s="138">
        <f>B154+1</f>
        <v>2023</v>
      </c>
      <c r="D154" s="138">
        <f t="shared" ref="D154:G154" si="106">C154+1</f>
        <v>2024</v>
      </c>
      <c r="E154" s="138">
        <f t="shared" si="106"/>
        <v>2025</v>
      </c>
      <c r="F154" s="138">
        <f t="shared" si="106"/>
        <v>2026</v>
      </c>
      <c r="G154" s="138">
        <f t="shared" si="106"/>
        <v>2027</v>
      </c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</row>
    <row r="155" spans="1:22" x14ac:dyDescent="0.25">
      <c r="A155" s="10" t="str">
        <f>$A$3</f>
        <v>Instruction</v>
      </c>
      <c r="B155" s="6">
        <f t="shared" ref="B155:B164" si="107">B82+B115+B142+I82+I115</f>
        <v>20169000</v>
      </c>
      <c r="C155" s="6">
        <f t="shared" ref="C155:C164" si="108">C82+C115+C142+J82+J115</f>
        <v>20506407.34090909</v>
      </c>
      <c r="D155" s="6">
        <f t="shared" ref="D155:D164" si="109">D82+D115+D142+K82+K115</f>
        <v>20893367.434112269</v>
      </c>
      <c r="E155" s="6">
        <f t="shared" ref="E155:E164" si="110">E82+E115+E142+L82+L115</f>
        <v>21232053.379831202</v>
      </c>
      <c r="F155" s="6">
        <f t="shared" ref="F155:F164" si="111">F82+F115+F142+M82+M115</f>
        <v>22234602.177358519</v>
      </c>
      <c r="G155" s="6">
        <f t="shared" ref="G155:G164" si="112">G82+G115+G142+N82+N115</f>
        <v>21904762.263446487</v>
      </c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</row>
    <row r="156" spans="1:22" x14ac:dyDescent="0.25">
      <c r="A156" s="10" t="str">
        <f>$A$4</f>
        <v>Research</v>
      </c>
      <c r="B156" s="6">
        <f t="shared" si="107"/>
        <v>1740000</v>
      </c>
      <c r="C156" s="6">
        <f t="shared" si="108"/>
        <v>1750642.6909090909</v>
      </c>
      <c r="D156" s="6">
        <f t="shared" si="109"/>
        <v>1760830.4562872727</v>
      </c>
      <c r="E156" s="6">
        <f t="shared" si="110"/>
        <v>1771162.4763360717</v>
      </c>
      <c r="F156" s="6">
        <f t="shared" si="111"/>
        <v>1781006.7936048517</v>
      </c>
      <c r="G156" s="6">
        <f t="shared" si="112"/>
        <v>1790330.322184985</v>
      </c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</row>
    <row r="157" spans="1:22" x14ac:dyDescent="0.25">
      <c r="A157" s="10" t="str">
        <f>$A$5</f>
        <v>Public service</v>
      </c>
      <c r="B157" s="6">
        <f t="shared" si="107"/>
        <v>1740000</v>
      </c>
      <c r="C157" s="6">
        <f t="shared" si="108"/>
        <v>1750642.6909090909</v>
      </c>
      <c r="D157" s="6">
        <f t="shared" si="109"/>
        <v>1760830.4562872727</v>
      </c>
      <c r="E157" s="6">
        <f t="shared" si="110"/>
        <v>1771162.4763360717</v>
      </c>
      <c r="F157" s="6">
        <f t="shared" si="111"/>
        <v>1781006.7936048517</v>
      </c>
      <c r="G157" s="6">
        <f t="shared" si="112"/>
        <v>1790330.322184985</v>
      </c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</row>
    <row r="158" spans="1:22" x14ac:dyDescent="0.25">
      <c r="A158" s="10" t="str">
        <f>$A$6</f>
        <v>Academic support</v>
      </c>
      <c r="B158" s="6">
        <f t="shared" si="107"/>
        <v>4521000</v>
      </c>
      <c r="C158" s="6">
        <f t="shared" si="108"/>
        <v>4611197.4636363629</v>
      </c>
      <c r="D158" s="6">
        <f t="shared" si="109"/>
        <v>4703485.9324840913</v>
      </c>
      <c r="E158" s="6">
        <f t="shared" si="110"/>
        <v>4798865.4948570719</v>
      </c>
      <c r="F158" s="6">
        <f t="shared" si="111"/>
        <v>4896502.580058354</v>
      </c>
      <c r="G158" s="6">
        <f t="shared" si="112"/>
        <v>4996461.1408240618</v>
      </c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</row>
    <row r="159" spans="1:22" x14ac:dyDescent="0.25">
      <c r="A159" s="10" t="str">
        <f>$A$7</f>
        <v>Student services</v>
      </c>
      <c r="B159" s="6">
        <f t="shared" si="107"/>
        <v>3206000</v>
      </c>
      <c r="C159" s="6">
        <f t="shared" si="108"/>
        <v>3236405.6363636362</v>
      </c>
      <c r="D159" s="6">
        <f t="shared" si="109"/>
        <v>3540570.5137209091</v>
      </c>
      <c r="E159" s="6">
        <f t="shared" si="110"/>
        <v>3572981.286215378</v>
      </c>
      <c r="F159" s="6">
        <f t="shared" si="111"/>
        <v>3604961.777951539</v>
      </c>
      <c r="G159" s="6">
        <f t="shared" si="112"/>
        <v>3636466.9325354043</v>
      </c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</row>
    <row r="160" spans="1:22" x14ac:dyDescent="0.25">
      <c r="A160" s="10" t="str">
        <f>$A$8</f>
        <v>Institutional support</v>
      </c>
      <c r="B160" s="6">
        <f t="shared" si="107"/>
        <v>2039000</v>
      </c>
      <c r="C160" s="6">
        <f t="shared" si="108"/>
        <v>2059253.0909090908</v>
      </c>
      <c r="D160" s="6">
        <f t="shared" si="109"/>
        <v>2079378.7802872728</v>
      </c>
      <c r="E160" s="6">
        <f t="shared" si="110"/>
        <v>2100026.514406472</v>
      </c>
      <c r="F160" s="6">
        <f t="shared" si="111"/>
        <v>2120540.4270982756</v>
      </c>
      <c r="G160" s="6">
        <f t="shared" si="112"/>
        <v>2320900.246472551</v>
      </c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</row>
    <row r="161" spans="1:22" x14ac:dyDescent="0.25">
      <c r="A161" s="10" t="str">
        <f>$A$9</f>
        <v>Auxiliary enterprises</v>
      </c>
      <c r="B161" s="6">
        <f t="shared" si="107"/>
        <v>1466000</v>
      </c>
      <c r="C161" s="6">
        <f t="shared" si="108"/>
        <v>1485762.9454545456</v>
      </c>
      <c r="D161" s="6">
        <f t="shared" si="109"/>
        <v>1505648.5241436365</v>
      </c>
      <c r="E161" s="6">
        <f t="shared" si="110"/>
        <v>1526118.990449636</v>
      </c>
      <c r="F161" s="6">
        <f t="shared" si="111"/>
        <v>1546722.7947761221</v>
      </c>
      <c r="G161" s="6">
        <f t="shared" si="112"/>
        <v>1567453.1168027569</v>
      </c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</row>
    <row r="162" spans="1:22" x14ac:dyDescent="0.25">
      <c r="A162" s="10" t="str">
        <f>$A$10</f>
        <v>Hospital services</v>
      </c>
      <c r="B162" s="6">
        <f t="shared" si="107"/>
        <v>0</v>
      </c>
      <c r="C162" s="6">
        <f t="shared" si="108"/>
        <v>0</v>
      </c>
      <c r="D162" s="6">
        <f t="shared" si="109"/>
        <v>0</v>
      </c>
      <c r="E162" s="6">
        <f t="shared" si="110"/>
        <v>0</v>
      </c>
      <c r="F162" s="6">
        <f t="shared" si="111"/>
        <v>0</v>
      </c>
      <c r="G162" s="6">
        <f t="shared" si="112"/>
        <v>0</v>
      </c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</row>
    <row r="163" spans="1:22" x14ac:dyDescent="0.25">
      <c r="A163" s="10" t="str">
        <f>$A$11</f>
        <v>Independent operatons</v>
      </c>
      <c r="B163" s="6">
        <f t="shared" si="107"/>
        <v>0</v>
      </c>
      <c r="C163" s="6">
        <f t="shared" si="108"/>
        <v>0</v>
      </c>
      <c r="D163" s="6">
        <f t="shared" si="109"/>
        <v>0</v>
      </c>
      <c r="E163" s="6">
        <f t="shared" si="110"/>
        <v>0</v>
      </c>
      <c r="F163" s="6">
        <f t="shared" si="111"/>
        <v>0</v>
      </c>
      <c r="G163" s="6">
        <f t="shared" si="112"/>
        <v>0</v>
      </c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</row>
    <row r="164" spans="1:22" x14ac:dyDescent="0.25">
      <c r="A164" s="10" t="str">
        <f>$A$12</f>
        <v>Other functional expenses and deductions</v>
      </c>
      <c r="B164" s="6">
        <f t="shared" si="107"/>
        <v>0</v>
      </c>
      <c r="C164" s="6">
        <f t="shared" si="108"/>
        <v>0</v>
      </c>
      <c r="D164" s="6">
        <f t="shared" si="109"/>
        <v>0</v>
      </c>
      <c r="E164" s="6">
        <f t="shared" si="110"/>
        <v>0</v>
      </c>
      <c r="F164" s="6">
        <f t="shared" si="111"/>
        <v>0</v>
      </c>
      <c r="G164" s="6">
        <f t="shared" si="112"/>
        <v>0</v>
      </c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</row>
    <row r="165" spans="1:22" x14ac:dyDescent="0.25">
      <c r="A165" s="10" t="str">
        <f>$A$13</f>
        <v>Plant Operations</v>
      </c>
      <c r="B165" s="18">
        <f>B92+B125+B152+I92+I125+Plant!C11-Plant!B11</f>
        <v>3836666.6666666679</v>
      </c>
      <c r="C165" s="18">
        <f>C92+C125+C152+J92+J125+Plant!D11-Plant!C11</f>
        <v>3917919.7575757587</v>
      </c>
      <c r="D165" s="18">
        <f>D92+D125+D152+K92+K125+Plant!E11-Plant!D11</f>
        <v>4042657.0869539399</v>
      </c>
      <c r="E165" s="18">
        <f>E92+E125+E152+L92+L125+Plant!F11-Plant!E11</f>
        <v>4494918.8770838063</v>
      </c>
      <c r="F165" s="18">
        <f>F92+F125+F152+M92+M125+Plant!G11-Plant!F11</f>
        <v>4590113.9320042487</v>
      </c>
      <c r="G165" s="18">
        <f>G92+G125+G152+N92+N125+Plant!H11-Plant!G11</f>
        <v>4687277.4454144742</v>
      </c>
      <c r="H165" s="13" t="s">
        <v>288</v>
      </c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</row>
    <row r="166" spans="1:22" x14ac:dyDescent="0.25">
      <c r="A166" s="116" t="s">
        <v>224</v>
      </c>
      <c r="B166" s="6">
        <f t="shared" ref="B166:G166" si="113">SUM(B155:B165)</f>
        <v>38717666.666666672</v>
      </c>
      <c r="C166" s="6">
        <f t="shared" si="113"/>
        <v>39318231.616666667</v>
      </c>
      <c r="D166" s="6">
        <f t="shared" si="113"/>
        <v>40286769.184276663</v>
      </c>
      <c r="E166" s="6">
        <f t="shared" si="113"/>
        <v>41267289.495515719</v>
      </c>
      <c r="F166" s="6">
        <f t="shared" si="113"/>
        <v>42555457.276456758</v>
      </c>
      <c r="G166" s="6">
        <f t="shared" si="113"/>
        <v>42693981.78986571</v>
      </c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</row>
    <row r="167" spans="1:22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</row>
    <row r="168" spans="1:22" x14ac:dyDescent="0.25">
      <c r="A168" s="9" t="s">
        <v>22</v>
      </c>
      <c r="B168" s="138">
        <f>Summary!$B$31+1</f>
        <v>2022</v>
      </c>
      <c r="C168" s="138">
        <f>B168+1</f>
        <v>2023</v>
      </c>
      <c r="D168" s="138">
        <f t="shared" ref="D168" si="114">C168+1</f>
        <v>2024</v>
      </c>
      <c r="E168" s="138">
        <f t="shared" ref="E168" si="115">D168+1</f>
        <v>2025</v>
      </c>
      <c r="F168" s="138">
        <f t="shared" ref="F168" si="116">E168+1</f>
        <v>2026</v>
      </c>
      <c r="G168" s="138">
        <f t="shared" ref="G168" si="117">F168+1</f>
        <v>2027</v>
      </c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</row>
    <row r="169" spans="1:22" x14ac:dyDescent="0.25">
      <c r="A169" s="10" t="str">
        <f>$A$3</f>
        <v>Instruction</v>
      </c>
      <c r="B169" s="6">
        <f>B155+Plant!D23</f>
        <v>21840423.193142399</v>
      </c>
      <c r="C169" s="6">
        <f>C155+Plant!E23</f>
        <v>22213228.005987186</v>
      </c>
      <c r="D169" s="6">
        <f>D155+Plant!F23</f>
        <v>22654529.245682113</v>
      </c>
      <c r="E169" s="6">
        <f>E155+Plant!G23</f>
        <v>23190240.607229497</v>
      </c>
      <c r="F169" s="6">
        <f>F155+Plant!H23</f>
        <v>24234260.618310202</v>
      </c>
      <c r="G169" s="6">
        <f>G155+Plant!I23</f>
        <v>23946749.466302875</v>
      </c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</row>
    <row r="170" spans="1:22" x14ac:dyDescent="0.25">
      <c r="A170" s="10" t="str">
        <f>$A$4</f>
        <v>Research</v>
      </c>
      <c r="B170" s="6">
        <f>B156+Plant!D24</f>
        <v>2085210.9056506408</v>
      </c>
      <c r="C170" s="6">
        <f>C156+Plant!E24</f>
        <v>2103164.4878976052</v>
      </c>
      <c r="D170" s="6">
        <f>D156+Plant!F24</f>
        <v>2124575.7162930984</v>
      </c>
      <c r="E170" s="6">
        <f>E156+Plant!G24</f>
        <v>2175600.7951156362</v>
      </c>
      <c r="F170" s="6">
        <f>F156+Plant!H24</f>
        <v>2194010.4567256537</v>
      </c>
      <c r="G170" s="6">
        <f>G156+Plant!I24</f>
        <v>2212076.4451999338</v>
      </c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</row>
    <row r="171" spans="1:22" x14ac:dyDescent="0.25">
      <c r="A171" s="10" t="str">
        <f>$A$5</f>
        <v>Public service</v>
      </c>
      <c r="B171" s="6">
        <f>B157+Plant!D25</f>
        <v>1931744.2389839741</v>
      </c>
      <c r="C171" s="6">
        <f>C157+Plant!E25</f>
        <v>1946447.6975945749</v>
      </c>
      <c r="D171" s="6">
        <f>D157+Plant!F25</f>
        <v>1962869.4328149408</v>
      </c>
      <c r="E171" s="6">
        <f>E157+Plant!G25</f>
        <v>1995804.0400322839</v>
      </c>
      <c r="F171" s="6">
        <f>F157+Plant!H25</f>
        <v>2010405.8994454837</v>
      </c>
      <c r="G171" s="6">
        <f>G157+Plant!I25</f>
        <v>2024585.3473833546</v>
      </c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</row>
    <row r="172" spans="1:22" x14ac:dyDescent="0.25">
      <c r="A172" s="10" t="str">
        <f>$A$6</f>
        <v>Academic support</v>
      </c>
      <c r="B172" s="6">
        <f>B158+Plant!D26</f>
        <v>4773922.3588773254</v>
      </c>
      <c r="C172" s="6">
        <f>C158+Plant!E26</f>
        <v>4869476.2230572514</v>
      </c>
      <c r="D172" s="6">
        <f>D158+Plant!F26</f>
        <v>4969987.6787650287</v>
      </c>
      <c r="E172" s="6">
        <f>E158+Plant!G26</f>
        <v>5095181.4336983208</v>
      </c>
      <c r="F172" s="6">
        <f>F158+Plant!H26</f>
        <v>5199094.0074775182</v>
      </c>
      <c r="G172" s="6">
        <f>G158+Plant!I26</f>
        <v>5305457.8223722931</v>
      </c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</row>
    <row r="173" spans="1:22" x14ac:dyDescent="0.25">
      <c r="A173" s="10" t="str">
        <f>$A$7</f>
        <v>Student services</v>
      </c>
      <c r="B173" s="6">
        <f>B159+Plant!D27</f>
        <v>3583460.8602582114</v>
      </c>
      <c r="C173" s="6">
        <f>C159+Plant!E27</f>
        <v>3621860.3788789762</v>
      </c>
      <c r="D173" s="6">
        <f>D159+Plant!F27</f>
        <v>3938297.2266063797</v>
      </c>
      <c r="E173" s="6">
        <f>E159+Plant!G27</f>
        <v>4015202.6448952025</v>
      </c>
      <c r="F173" s="6">
        <f>F159+Plant!H27</f>
        <v>4056548.664169834</v>
      </c>
      <c r="G173" s="6">
        <f>G159+Plant!I27</f>
        <v>4097613.0081605283</v>
      </c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</row>
    <row r="174" spans="1:22" x14ac:dyDescent="0.25">
      <c r="A174" s="10" t="str">
        <f>$A$8</f>
        <v>Institutional support</v>
      </c>
      <c r="B174" s="6">
        <f>B160+Plant!D28</f>
        <v>2544255.1551465457</v>
      </c>
      <c r="C174" s="6">
        <f>C160+Plant!E28</f>
        <v>2575208.5613606088</v>
      </c>
      <c r="D174" s="6">
        <f>D160+Plant!F28</f>
        <v>2611761.0566573497</v>
      </c>
      <c r="E174" s="6">
        <f>E160+Plant!G28</f>
        <v>2691967.6789448168</v>
      </c>
      <c r="F174" s="6">
        <f>F160+Plant!H28</f>
        <v>2725017.9406139478</v>
      </c>
      <c r="G174" s="6">
        <f>G160+Plant!I28</f>
        <v>2938173.3375840527</v>
      </c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</row>
    <row r="175" spans="1:22" x14ac:dyDescent="0.25">
      <c r="A175" s="10" t="str">
        <f>$A$9</f>
        <v>Auxiliary enterprises</v>
      </c>
      <c r="B175" s="6">
        <f>B161+Plant!D29</f>
        <v>1958649.9546075705</v>
      </c>
      <c r="C175" s="6">
        <f>C161+Plant!E29</f>
        <v>1988846.2618904624</v>
      </c>
      <c r="D175" s="6">
        <f>D161+Plant!F29</f>
        <v>2024748.8274577542</v>
      </c>
      <c r="E175" s="6">
        <f>E161+Plant!G29</f>
        <v>2103292.2955999528</v>
      </c>
      <c r="F175" s="6">
        <f>F161+Plant!H29</f>
        <v>2136119.6897141249</v>
      </c>
      <c r="G175" s="6">
        <f>G161+Plant!I29</f>
        <v>2169326.3628626689</v>
      </c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</row>
    <row r="176" spans="1:22" x14ac:dyDescent="0.25">
      <c r="A176" s="10" t="s">
        <v>221</v>
      </c>
      <c r="B176" s="6">
        <f>ScholTuit!C27</f>
        <v>9206725.2375826053</v>
      </c>
      <c r="C176" s="6">
        <f>ScholTuit!D27</f>
        <v>9370291.0081865005</v>
      </c>
      <c r="D176" s="6">
        <f>ScholTuit!E27</f>
        <v>9810567.3492289931</v>
      </c>
      <c r="E176" s="6">
        <f>ScholTuit!F27</f>
        <v>9674034.2846209798</v>
      </c>
      <c r="F176" s="6">
        <f>ScholTuit!G27</f>
        <v>10646808.260892175</v>
      </c>
      <c r="G176" s="6">
        <f>ScholTuit!H27</f>
        <v>11107998.526183944</v>
      </c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</row>
    <row r="177" spans="1:22" x14ac:dyDescent="0.25">
      <c r="A177" s="10" t="str">
        <f>$A$10</f>
        <v>Hospital services</v>
      </c>
      <c r="B177" s="6">
        <f>B162+Plant!D30</f>
        <v>0</v>
      </c>
      <c r="C177" s="6">
        <f>C162+Plant!E30</f>
        <v>0</v>
      </c>
      <c r="D177" s="6">
        <f>D162+Plant!F30</f>
        <v>0</v>
      </c>
      <c r="E177" s="6">
        <f>E162+Plant!G30</f>
        <v>0</v>
      </c>
      <c r="F177" s="6">
        <f>F162+Plant!H30</f>
        <v>0</v>
      </c>
      <c r="G177" s="6">
        <f>G162+Plant!I30</f>
        <v>0</v>
      </c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</row>
    <row r="178" spans="1:22" x14ac:dyDescent="0.25">
      <c r="A178" s="10" t="str">
        <f>$A$11</f>
        <v>Independent operatons</v>
      </c>
      <c r="B178" s="6">
        <f>B163+Plant!D31</f>
        <v>0</v>
      </c>
      <c r="C178" s="6">
        <f>C163+Plant!E31</f>
        <v>0</v>
      </c>
      <c r="D178" s="6">
        <f>D163+Plant!F31</f>
        <v>0</v>
      </c>
      <c r="E178" s="6">
        <f>E163+Plant!G31</f>
        <v>0</v>
      </c>
      <c r="F178" s="6">
        <f>F163+Plant!H31</f>
        <v>0</v>
      </c>
      <c r="G178" s="6">
        <f>G163+Plant!I31</f>
        <v>0</v>
      </c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</row>
    <row r="179" spans="1:22" x14ac:dyDescent="0.25">
      <c r="A179" s="10" t="str">
        <f>$A$12</f>
        <v>Other functional expenses and deductions</v>
      </c>
      <c r="B179" s="18">
        <f>B164+Plant!D32</f>
        <v>0</v>
      </c>
      <c r="C179" s="18">
        <f>C164+Plant!E32</f>
        <v>0</v>
      </c>
      <c r="D179" s="18">
        <f>D164+Plant!F32</f>
        <v>0</v>
      </c>
      <c r="E179" s="18">
        <f>E164+Plant!G32</f>
        <v>0</v>
      </c>
      <c r="F179" s="18">
        <f>F164+Plant!H32</f>
        <v>0</v>
      </c>
      <c r="G179" s="18">
        <f>G164+Plant!I32</f>
        <v>0</v>
      </c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</row>
    <row r="180" spans="1:22" x14ac:dyDescent="0.25">
      <c r="A180" s="116" t="s">
        <v>224</v>
      </c>
      <c r="B180" s="6">
        <f>SUM(B169:B179)</f>
        <v>47924391.904249281</v>
      </c>
      <c r="C180" s="6">
        <f t="shared" ref="C180:G180" si="118">SUM(C169:C179)</f>
        <v>48688522.624853164</v>
      </c>
      <c r="D180" s="6">
        <f t="shared" si="118"/>
        <v>50097336.533505656</v>
      </c>
      <c r="E180" s="6">
        <f t="shared" si="118"/>
        <v>50941323.78013669</v>
      </c>
      <c r="F180" s="6">
        <f t="shared" si="118"/>
        <v>53202265.537348941</v>
      </c>
      <c r="G180" s="6">
        <f t="shared" si="118"/>
        <v>53801980.31604965</v>
      </c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</row>
    <row r="181" spans="1:22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</row>
    <row r="182" spans="1:22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</row>
    <row r="183" spans="1:22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</row>
    <row r="184" spans="1:22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</row>
    <row r="185" spans="1:22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</row>
    <row r="186" spans="1:22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</row>
    <row r="187" spans="1:22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</row>
    <row r="188" spans="1:22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</row>
    <row r="189" spans="1:22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</row>
    <row r="190" spans="1:22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</row>
    <row r="191" spans="1:22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Enrollment</vt:lpstr>
      <vt:lpstr>ScholTuit</vt:lpstr>
      <vt:lpstr>StuFlow</vt:lpstr>
      <vt:lpstr>BalSheet</vt:lpstr>
      <vt:lpstr>Endow</vt:lpstr>
      <vt:lpstr>Plant</vt:lpstr>
      <vt:lpstr>Cash</vt:lpstr>
      <vt:lpstr>Staffing</vt:lpstr>
      <vt:lpstr>KPIs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Dickmeyer</dc:creator>
  <cp:lastModifiedBy>Nathan Dickmeyer</cp:lastModifiedBy>
  <dcterms:created xsi:type="dcterms:W3CDTF">2021-02-18T21:10:06Z</dcterms:created>
  <dcterms:modified xsi:type="dcterms:W3CDTF">2024-02-10T15:58:07Z</dcterms:modified>
</cp:coreProperties>
</file>