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d\Writing\Modeling Book\Spreadsheets\Final Final Final Final\"/>
    </mc:Choice>
  </mc:AlternateContent>
  <xr:revisionPtr revIDLastSave="0" documentId="13_ncr:1_{7BF98866-7226-4490-9842-BE3829F06828}" xr6:coauthVersionLast="47" xr6:coauthVersionMax="47" xr10:uidLastSave="{00000000-0000-0000-0000-000000000000}"/>
  <bookViews>
    <workbookView xWindow="-120" yWindow="-120" windowWidth="19440" windowHeight="14880" tabRatio="661" xr2:uid="{B379CA02-A9A6-4AA7-B58B-D86B40358E46}"/>
  </bookViews>
  <sheets>
    <sheet name="Summary" sheetId="1" r:id="rId1"/>
    <sheet name="Enrollment" sheetId="2" r:id="rId2"/>
    <sheet name="ScholTuit" sheetId="8" r:id="rId3"/>
    <sheet name="StuFlow" sheetId="4" r:id="rId4"/>
    <sheet name="BalSheet" sheetId="6" r:id="rId5"/>
    <sheet name="Endow" sheetId="9" r:id="rId6"/>
    <sheet name="Plant" sheetId="7" r:id="rId7"/>
    <sheet name="Cash" sheetId="5" r:id="rId8"/>
    <sheet name="Staffing" sheetId="3" r:id="rId9"/>
    <sheet name="KPIs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C7" i="10"/>
  <c r="B7" i="10"/>
  <c r="A19" i="4"/>
  <c r="A18" i="4"/>
  <c r="C2" i="2"/>
  <c r="E36" i="2"/>
  <c r="E2" i="2" s="1"/>
  <c r="A22" i="4" s="1"/>
  <c r="G36" i="2"/>
  <c r="G2" i="2" s="1"/>
  <c r="C36" i="2"/>
  <c r="E86" i="2"/>
  <c r="G86" i="2"/>
  <c r="C86" i="2"/>
  <c r="C176" i="4"/>
  <c r="B176" i="4"/>
  <c r="G6" i="10"/>
  <c r="F6" i="10"/>
  <c r="E6" i="10"/>
  <c r="D6" i="10"/>
  <c r="C6" i="10"/>
  <c r="B6" i="10"/>
  <c r="G2" i="10"/>
  <c r="F2" i="10"/>
  <c r="E2" i="10"/>
  <c r="D2" i="10"/>
  <c r="C2" i="10"/>
  <c r="B2" i="10"/>
  <c r="A1" i="10"/>
  <c r="B23" i="6"/>
  <c r="C22" i="6"/>
  <c r="D22" i="6"/>
  <c r="E22" i="6"/>
  <c r="F22" i="6"/>
  <c r="G22" i="6"/>
  <c r="H22" i="6"/>
  <c r="C18" i="6"/>
  <c r="D18" i="6"/>
  <c r="E18" i="6"/>
  <c r="F18" i="6"/>
  <c r="G18" i="6"/>
  <c r="H18" i="6"/>
  <c r="I14" i="7"/>
  <c r="B18" i="6"/>
  <c r="B22" i="6"/>
  <c r="B70" i="2"/>
  <c r="B63" i="2"/>
  <c r="F24" i="1"/>
  <c r="D59" i="2"/>
  <c r="E59" i="2" s="1"/>
  <c r="F59" i="2" s="1"/>
  <c r="G59" i="2" s="1"/>
  <c r="H59" i="2" s="1"/>
  <c r="K24" i="1" s="1"/>
  <c r="A26" i="4" l="1"/>
  <c r="A27" i="4"/>
  <c r="A23" i="4"/>
  <c r="I24" i="1"/>
  <c r="H24" i="1"/>
  <c r="J24" i="1"/>
  <c r="G24" i="1"/>
  <c r="B54" i="2" l="1"/>
  <c r="B11" i="6"/>
  <c r="C27" i="6"/>
  <c r="B16" i="5" s="1"/>
  <c r="D27" i="6"/>
  <c r="E27" i="6"/>
  <c r="D16" i="5" s="1"/>
  <c r="B27" i="6"/>
  <c r="B24" i="6"/>
  <c r="G23" i="6"/>
  <c r="B20" i="6"/>
  <c r="D15" i="6"/>
  <c r="E15" i="6"/>
  <c r="D10" i="5" s="1"/>
  <c r="F15" i="6"/>
  <c r="E10" i="5" s="1"/>
  <c r="G15" i="6"/>
  <c r="F10" i="5" s="1"/>
  <c r="H15" i="6"/>
  <c r="G10" i="5" s="1"/>
  <c r="B15" i="6"/>
  <c r="C19" i="9"/>
  <c r="D19" i="9" s="1"/>
  <c r="E19" i="9" s="1"/>
  <c r="F19" i="9" s="1"/>
  <c r="G19" i="9" s="1"/>
  <c r="H19" i="9" s="1"/>
  <c r="H27" i="6" s="1"/>
  <c r="C17" i="9"/>
  <c r="D17" i="9" s="1"/>
  <c r="E17" i="9" s="1"/>
  <c r="F17" i="9" s="1"/>
  <c r="G17" i="9" s="1"/>
  <c r="H17" i="9" s="1"/>
  <c r="H23" i="6" s="1"/>
  <c r="C15" i="9"/>
  <c r="D15" i="9" s="1"/>
  <c r="E15" i="9" s="1"/>
  <c r="F15" i="9" s="1"/>
  <c r="G15" i="9" s="1"/>
  <c r="H15" i="9" s="1"/>
  <c r="C13" i="9"/>
  <c r="D13" i="9" s="1"/>
  <c r="E13" i="9" s="1"/>
  <c r="F13" i="9" s="1"/>
  <c r="G13" i="9" s="1"/>
  <c r="H13" i="9" s="1"/>
  <c r="H11" i="6" s="1"/>
  <c r="F23" i="6" l="1"/>
  <c r="E23" i="6"/>
  <c r="C16" i="5"/>
  <c r="D23" i="6"/>
  <c r="C23" i="6"/>
  <c r="C24" i="6" s="1"/>
  <c r="G12" i="5"/>
  <c r="H24" i="6"/>
  <c r="G16" i="5"/>
  <c r="B8" i="5"/>
  <c r="C15" i="6"/>
  <c r="B10" i="5" s="1"/>
  <c r="G11" i="6"/>
  <c r="F8" i="5" s="1"/>
  <c r="F11" i="6"/>
  <c r="G24" i="6"/>
  <c r="E11" i="6"/>
  <c r="D11" i="6"/>
  <c r="C11" i="6"/>
  <c r="B12" i="5"/>
  <c r="G27" i="6"/>
  <c r="F27" i="6"/>
  <c r="E16" i="5" s="1"/>
  <c r="B26" i="6"/>
  <c r="F27" i="1"/>
  <c r="F22" i="1"/>
  <c r="F23" i="1"/>
  <c r="F21" i="1"/>
  <c r="D60" i="2"/>
  <c r="E60" i="2" s="1"/>
  <c r="F60" i="2" s="1"/>
  <c r="G60" i="2" s="1"/>
  <c r="H60" i="2" s="1"/>
  <c r="K27" i="1" s="1"/>
  <c r="D58" i="2"/>
  <c r="E58" i="2" s="1"/>
  <c r="F58" i="2" s="1"/>
  <c r="G58" i="2" s="1"/>
  <c r="H58" i="2" s="1"/>
  <c r="K23" i="1" s="1"/>
  <c r="D57" i="2"/>
  <c r="E57" i="2" s="1"/>
  <c r="F57" i="2" s="1"/>
  <c r="G57" i="2" s="1"/>
  <c r="H57" i="2" s="1"/>
  <c r="K22" i="1" s="1"/>
  <c r="D56" i="2"/>
  <c r="E56" i="2" s="1"/>
  <c r="F56" i="2" s="1"/>
  <c r="G56" i="2" s="1"/>
  <c r="H56" i="2" s="1"/>
  <c r="K21" i="1" s="1"/>
  <c r="D24" i="6" l="1"/>
  <c r="C12" i="5"/>
  <c r="F24" i="6"/>
  <c r="E12" i="5"/>
  <c r="C8" i="5"/>
  <c r="E24" i="6"/>
  <c r="D12" i="5"/>
  <c r="F12" i="5"/>
  <c r="D8" i="5"/>
  <c r="E8" i="5"/>
  <c r="G8" i="5"/>
  <c r="F16" i="5"/>
  <c r="C10" i="5"/>
  <c r="H23" i="1"/>
  <c r="I23" i="1"/>
  <c r="H21" i="1"/>
  <c r="J23" i="1"/>
  <c r="G21" i="1"/>
  <c r="I21" i="1"/>
  <c r="G23" i="1"/>
  <c r="J27" i="1"/>
  <c r="J21" i="1"/>
  <c r="J22" i="1"/>
  <c r="I27" i="1"/>
  <c r="I22" i="1"/>
  <c r="H27" i="1"/>
  <c r="G22" i="1"/>
  <c r="H22" i="1"/>
  <c r="G27" i="1"/>
  <c r="A1" i="8"/>
  <c r="A1" i="2"/>
  <c r="B32" i="7" l="1"/>
  <c r="B10" i="7"/>
  <c r="C4" i="7"/>
  <c r="B11" i="9"/>
  <c r="F49" i="1"/>
  <c r="B9" i="9"/>
  <c r="B9" i="6" s="1"/>
  <c r="C77" i="2" l="1"/>
  <c r="D76" i="2"/>
  <c r="C6" i="6" l="1"/>
  <c r="D6" i="6" s="1"/>
  <c r="E6" i="6" s="1"/>
  <c r="F6" i="6" s="1"/>
  <c r="G6" i="6" s="1"/>
  <c r="H6" i="6" s="1"/>
  <c r="G6" i="5" s="1"/>
  <c r="D14" i="5"/>
  <c r="E14" i="5"/>
  <c r="F14" i="5"/>
  <c r="G14" i="5"/>
  <c r="C14" i="5"/>
  <c r="B3" i="5"/>
  <c r="E6" i="5" l="1"/>
  <c r="C6" i="5"/>
  <c r="F6" i="5"/>
  <c r="D6" i="5"/>
  <c r="F10" i="1" l="1"/>
  <c r="D66" i="2"/>
  <c r="G10" i="1" s="1"/>
  <c r="F25" i="1"/>
  <c r="C16" i="7"/>
  <c r="B13" i="5" s="1"/>
  <c r="D16" i="7"/>
  <c r="C13" i="5" s="1"/>
  <c r="E16" i="7"/>
  <c r="D13" i="5" s="1"/>
  <c r="F16" i="7"/>
  <c r="E13" i="5" s="1"/>
  <c r="G16" i="7"/>
  <c r="F13" i="5" s="1"/>
  <c r="H16" i="7"/>
  <c r="G13" i="5" s="1"/>
  <c r="B16" i="7"/>
  <c r="B18" i="7" s="1"/>
  <c r="C15" i="7" s="1"/>
  <c r="C8" i="7"/>
  <c r="D8" i="7" s="1"/>
  <c r="E8" i="7" s="1"/>
  <c r="F8" i="7" s="1"/>
  <c r="G8" i="7" s="1"/>
  <c r="H8" i="7" s="1"/>
  <c r="D4" i="7"/>
  <c r="E4" i="7" s="1"/>
  <c r="F4" i="7" s="1"/>
  <c r="G4" i="7" s="1"/>
  <c r="H4" i="7" s="1"/>
  <c r="C5" i="7"/>
  <c r="C6" i="7"/>
  <c r="D6" i="7" s="1"/>
  <c r="C3" i="7"/>
  <c r="D3" i="7" s="1"/>
  <c r="E3" i="7" s="1"/>
  <c r="F3" i="7" s="1"/>
  <c r="G3" i="7" s="1"/>
  <c r="H3" i="7" s="1"/>
  <c r="C8" i="9"/>
  <c r="D8" i="9" s="1"/>
  <c r="E8" i="9" s="1"/>
  <c r="F8" i="9" s="1"/>
  <c r="G8" i="9" s="1"/>
  <c r="H8" i="9" s="1"/>
  <c r="B10" i="9"/>
  <c r="B27" i="5" s="1"/>
  <c r="B28" i="5" s="1"/>
  <c r="C3" i="9"/>
  <c r="B5" i="9"/>
  <c r="C5" i="9" s="1"/>
  <c r="C7" i="9" s="1"/>
  <c r="B4" i="9"/>
  <c r="C4" i="9" s="1"/>
  <c r="C6" i="9" s="1"/>
  <c r="A2" i="9"/>
  <c r="A1" i="9"/>
  <c r="C78" i="2"/>
  <c r="E76" i="2"/>
  <c r="F76" i="2" s="1"/>
  <c r="G76" i="2" s="1"/>
  <c r="H76" i="2" s="1"/>
  <c r="D81" i="2"/>
  <c r="E81" i="2" s="1"/>
  <c r="F81" i="2" s="1"/>
  <c r="G81" i="2" s="1"/>
  <c r="H81" i="2" s="1"/>
  <c r="K12" i="1" s="1"/>
  <c r="D82" i="2"/>
  <c r="G14" i="1" s="1"/>
  <c r="D69" i="2"/>
  <c r="E69" i="2" s="1"/>
  <c r="F69" i="2" s="1"/>
  <c r="G69" i="2" s="1"/>
  <c r="H69" i="2" s="1"/>
  <c r="D74" i="2"/>
  <c r="E74" i="2" s="1"/>
  <c r="F74" i="2" s="1"/>
  <c r="G74" i="2" s="1"/>
  <c r="H74" i="2" s="1"/>
  <c r="D73" i="2"/>
  <c r="E73" i="2" s="1"/>
  <c r="F73" i="2" s="1"/>
  <c r="G73" i="2" s="1"/>
  <c r="H73" i="2" s="1"/>
  <c r="F14" i="1"/>
  <c r="F12" i="1"/>
  <c r="F13" i="1"/>
  <c r="F8" i="1"/>
  <c r="F7" i="1"/>
  <c r="F6" i="1"/>
  <c r="F19" i="1"/>
  <c r="F20" i="1"/>
  <c r="F18" i="1"/>
  <c r="D55" i="2"/>
  <c r="E55" i="2" s="1"/>
  <c r="F55" i="2" s="1"/>
  <c r="G55" i="2" s="1"/>
  <c r="H55" i="2" s="1"/>
  <c r="K20" i="1" s="1"/>
  <c r="D54" i="2"/>
  <c r="E54" i="2" s="1"/>
  <c r="F54" i="2" s="1"/>
  <c r="G54" i="2" s="1"/>
  <c r="H54" i="2" s="1"/>
  <c r="K19" i="1" s="1"/>
  <c r="D53" i="2"/>
  <c r="G18" i="1" s="1"/>
  <c r="B50" i="2"/>
  <c r="D50" i="2" s="1"/>
  <c r="E50" i="2" s="1"/>
  <c r="F50" i="2" s="1"/>
  <c r="G50" i="2" s="1"/>
  <c r="H50" i="2" s="1"/>
  <c r="K7" i="1" s="1"/>
  <c r="B51" i="2"/>
  <c r="D51" i="2" s="1"/>
  <c r="E51" i="2" s="1"/>
  <c r="F51" i="2" s="1"/>
  <c r="G51" i="2" s="1"/>
  <c r="H51" i="2" s="1"/>
  <c r="K8" i="1" s="1"/>
  <c r="B49" i="2"/>
  <c r="D49" i="2" s="1"/>
  <c r="C33" i="8"/>
  <c r="D28" i="8"/>
  <c r="E28" i="8" s="1"/>
  <c r="F28" i="8" s="1"/>
  <c r="G28" i="8" s="1"/>
  <c r="H28" i="8" s="1"/>
  <c r="B22" i="8"/>
  <c r="C9" i="8"/>
  <c r="B9" i="8"/>
  <c r="B11" i="8" s="1"/>
  <c r="C7" i="8"/>
  <c r="C5" i="8"/>
  <c r="B4" i="8"/>
  <c r="B6" i="8" s="1"/>
  <c r="D32" i="8"/>
  <c r="E32" i="8" s="1"/>
  <c r="F32" i="8" s="1"/>
  <c r="G32" i="8" s="1"/>
  <c r="H32" i="8" s="1"/>
  <c r="D31" i="8"/>
  <c r="E31" i="8" s="1"/>
  <c r="F31" i="8" s="1"/>
  <c r="G31" i="8" s="1"/>
  <c r="H31" i="8" s="1"/>
  <c r="D25" i="8"/>
  <c r="E25" i="8" s="1"/>
  <c r="F25" i="8" s="1"/>
  <c r="G25" i="8" s="1"/>
  <c r="H25" i="8" s="1"/>
  <c r="D26" i="8"/>
  <c r="E26" i="8" s="1"/>
  <c r="F26" i="8" s="1"/>
  <c r="G26" i="8" s="1"/>
  <c r="H26" i="8" s="1"/>
  <c r="D27" i="8"/>
  <c r="E27" i="8" s="1"/>
  <c r="F27" i="8" s="1"/>
  <c r="G27" i="8" s="1"/>
  <c r="H27" i="8" s="1"/>
  <c r="D24" i="8"/>
  <c r="B168" i="3"/>
  <c r="C168" i="3" s="1"/>
  <c r="D168" i="3" s="1"/>
  <c r="E168" i="3" s="1"/>
  <c r="F168" i="3" s="1"/>
  <c r="G168" i="3" s="1"/>
  <c r="A179" i="3"/>
  <c r="A178" i="3"/>
  <c r="A177" i="3"/>
  <c r="A175" i="3"/>
  <c r="A174" i="3"/>
  <c r="A173" i="3"/>
  <c r="A172" i="3"/>
  <c r="A171" i="3"/>
  <c r="A170" i="3"/>
  <c r="A169" i="3"/>
  <c r="B152" i="3"/>
  <c r="B149" i="3"/>
  <c r="B150" i="3"/>
  <c r="B151" i="3"/>
  <c r="B148" i="3"/>
  <c r="B146" i="3"/>
  <c r="B143" i="3"/>
  <c r="B144" i="3"/>
  <c r="B145" i="3"/>
  <c r="A100" i="3"/>
  <c r="A99" i="3"/>
  <c r="A98" i="3"/>
  <c r="A97" i="3"/>
  <c r="I69" i="3"/>
  <c r="I70" i="3"/>
  <c r="I71" i="3"/>
  <c r="I72" i="3"/>
  <c r="I73" i="3"/>
  <c r="I74" i="3"/>
  <c r="I75" i="3"/>
  <c r="I76" i="3"/>
  <c r="I77" i="3"/>
  <c r="I78" i="3"/>
  <c r="B69" i="3"/>
  <c r="B70" i="3"/>
  <c r="B71" i="3"/>
  <c r="B72" i="3"/>
  <c r="B73" i="3"/>
  <c r="B74" i="3"/>
  <c r="B75" i="3"/>
  <c r="B76" i="3"/>
  <c r="B77" i="3"/>
  <c r="B78" i="3"/>
  <c r="A65" i="3"/>
  <c r="A64" i="3"/>
  <c r="A63" i="3"/>
  <c r="A62" i="3"/>
  <c r="I45" i="3"/>
  <c r="I46" i="3"/>
  <c r="I47" i="3"/>
  <c r="I48" i="3"/>
  <c r="I49" i="3"/>
  <c r="I50" i="3"/>
  <c r="I51" i="3"/>
  <c r="I52" i="3"/>
  <c r="I53" i="3"/>
  <c r="I54" i="3"/>
  <c r="B45" i="3"/>
  <c r="B46" i="3"/>
  <c r="B47" i="3"/>
  <c r="B48" i="3"/>
  <c r="B49" i="3"/>
  <c r="B50" i="3"/>
  <c r="B51" i="3"/>
  <c r="B52" i="3"/>
  <c r="B53" i="3"/>
  <c r="B54" i="3"/>
  <c r="I38" i="3"/>
  <c r="J38" i="3" s="1"/>
  <c r="K38" i="3" s="1"/>
  <c r="L38" i="3" s="1"/>
  <c r="M38" i="3" s="1"/>
  <c r="N38" i="3" s="1"/>
  <c r="I39" i="3"/>
  <c r="J39" i="3" s="1"/>
  <c r="K39" i="3" s="1"/>
  <c r="L39" i="3" s="1"/>
  <c r="M39" i="3" s="1"/>
  <c r="N39" i="3" s="1"/>
  <c r="I40" i="3"/>
  <c r="B38" i="3"/>
  <c r="B39" i="3"/>
  <c r="C39" i="3" s="1"/>
  <c r="B40" i="3"/>
  <c r="C40" i="3" s="1"/>
  <c r="D40" i="3" s="1"/>
  <c r="E40" i="3" s="1"/>
  <c r="F40" i="3" s="1"/>
  <c r="G40" i="3" s="1"/>
  <c r="A40" i="3"/>
  <c r="A39" i="3"/>
  <c r="A38" i="3"/>
  <c r="A37" i="3"/>
  <c r="A19" i="3"/>
  <c r="A18" i="3"/>
  <c r="A17" i="3"/>
  <c r="A16" i="3"/>
  <c r="J4" i="3"/>
  <c r="I63" i="3" s="1"/>
  <c r="J5" i="3"/>
  <c r="I64" i="3" s="1"/>
  <c r="J6" i="3"/>
  <c r="C4" i="3"/>
  <c r="B63" i="3" s="1"/>
  <c r="C5" i="3"/>
  <c r="B64" i="3" s="1"/>
  <c r="C6" i="3"/>
  <c r="A165" i="3"/>
  <c r="A164" i="3"/>
  <c r="A32" i="7" s="1"/>
  <c r="A163" i="3"/>
  <c r="A31" i="7" s="1"/>
  <c r="A162" i="3"/>
  <c r="A30" i="7" s="1"/>
  <c r="A161" i="3"/>
  <c r="A29" i="7" s="1"/>
  <c r="A160" i="3"/>
  <c r="A28" i="7" s="1"/>
  <c r="A159" i="3"/>
  <c r="A27" i="7" s="1"/>
  <c r="A158" i="3"/>
  <c r="A26" i="7" s="1"/>
  <c r="A157" i="3"/>
  <c r="A25" i="7" s="1"/>
  <c r="A156" i="3"/>
  <c r="A24" i="7" s="1"/>
  <c r="A155" i="3"/>
  <c r="A23" i="7" s="1"/>
  <c r="A152" i="3"/>
  <c r="A151" i="3"/>
  <c r="A150" i="3"/>
  <c r="A149" i="3"/>
  <c r="A148" i="3"/>
  <c r="A147" i="3"/>
  <c r="A146" i="3"/>
  <c r="A145" i="3"/>
  <c r="A144" i="3"/>
  <c r="A143" i="3"/>
  <c r="A142" i="3"/>
  <c r="A138" i="3"/>
  <c r="A137" i="3"/>
  <c r="A136" i="3"/>
  <c r="A135" i="3"/>
  <c r="A134" i="3"/>
  <c r="A133" i="3"/>
  <c r="A132" i="3"/>
  <c r="A131" i="3"/>
  <c r="A130" i="3"/>
  <c r="A129" i="3"/>
  <c r="A128" i="3"/>
  <c r="A125" i="3"/>
  <c r="A124" i="3"/>
  <c r="A123" i="3"/>
  <c r="A122" i="3"/>
  <c r="A121" i="3"/>
  <c r="A120" i="3"/>
  <c r="A119" i="3"/>
  <c r="A118" i="3"/>
  <c r="A117" i="3"/>
  <c r="A116" i="3"/>
  <c r="A115" i="3"/>
  <c r="A112" i="3"/>
  <c r="A111" i="3"/>
  <c r="A110" i="3"/>
  <c r="A109" i="3"/>
  <c r="A108" i="3"/>
  <c r="A107" i="3"/>
  <c r="A106" i="3"/>
  <c r="A105" i="3"/>
  <c r="A104" i="3"/>
  <c r="A103" i="3"/>
  <c r="A102" i="3"/>
  <c r="A92" i="3"/>
  <c r="A91" i="3"/>
  <c r="A90" i="3"/>
  <c r="A89" i="3"/>
  <c r="A88" i="3"/>
  <c r="A87" i="3"/>
  <c r="A86" i="3"/>
  <c r="A85" i="3"/>
  <c r="A84" i="3"/>
  <c r="A83" i="3"/>
  <c r="A82" i="3"/>
  <c r="A78" i="3"/>
  <c r="A77" i="3"/>
  <c r="A76" i="3"/>
  <c r="A75" i="3"/>
  <c r="A74" i="3"/>
  <c r="A73" i="3"/>
  <c r="A72" i="3"/>
  <c r="A71" i="3"/>
  <c r="A70" i="3"/>
  <c r="A69" i="3"/>
  <c r="A68" i="3"/>
  <c r="A54" i="3"/>
  <c r="A53" i="3"/>
  <c r="A52" i="3"/>
  <c r="A51" i="3"/>
  <c r="A50" i="3"/>
  <c r="A49" i="3"/>
  <c r="A48" i="3"/>
  <c r="A47" i="3"/>
  <c r="A46" i="3"/>
  <c r="A45" i="3"/>
  <c r="A44" i="3"/>
  <c r="A33" i="3"/>
  <c r="A32" i="3"/>
  <c r="A31" i="3"/>
  <c r="A30" i="3"/>
  <c r="A29" i="3"/>
  <c r="A28" i="3"/>
  <c r="A27" i="3"/>
  <c r="A26" i="3"/>
  <c r="A25" i="3"/>
  <c r="A24" i="3"/>
  <c r="A23" i="3"/>
  <c r="A1" i="7"/>
  <c r="B14" i="5"/>
  <c r="C11" i="7" l="1"/>
  <c r="B11" i="5" s="1"/>
  <c r="D5" i="7"/>
  <c r="D10" i="7" s="1"/>
  <c r="C10" i="7"/>
  <c r="C15" i="5" s="1"/>
  <c r="D5" i="9"/>
  <c r="D7" i="9" s="1"/>
  <c r="C9" i="9"/>
  <c r="C9" i="6" s="1"/>
  <c r="B7" i="5" s="1"/>
  <c r="G49" i="1"/>
  <c r="D4" i="9"/>
  <c r="E4" i="9" s="1"/>
  <c r="F4" i="9" s="1"/>
  <c r="G4" i="9" s="1"/>
  <c r="H4" i="9" s="1"/>
  <c r="C68" i="2"/>
  <c r="F26" i="1" s="1"/>
  <c r="F28" i="1" s="1"/>
  <c r="E66" i="2"/>
  <c r="I92" i="3"/>
  <c r="I89" i="3"/>
  <c r="H33" i="8"/>
  <c r="D78" i="2"/>
  <c r="C18" i="7"/>
  <c r="D15" i="7" s="1"/>
  <c r="D18" i="7" s="1"/>
  <c r="E15" i="7" s="1"/>
  <c r="E18" i="7" s="1"/>
  <c r="F15" i="7" s="1"/>
  <c r="F18" i="7" s="1"/>
  <c r="G15" i="7" s="1"/>
  <c r="G18" i="7" s="1"/>
  <c r="H15" i="7" s="1"/>
  <c r="H18" i="7" s="1"/>
  <c r="B12" i="7"/>
  <c r="B10" i="6" s="1"/>
  <c r="B12" i="6" s="1"/>
  <c r="E6" i="7"/>
  <c r="F6" i="7" s="1"/>
  <c r="G6" i="7" s="1"/>
  <c r="H6" i="7" s="1"/>
  <c r="H78" i="2"/>
  <c r="G78" i="2"/>
  <c r="F78" i="2"/>
  <c r="E78" i="2"/>
  <c r="C79" i="2"/>
  <c r="F11" i="1" s="1"/>
  <c r="H77" i="2"/>
  <c r="G77" i="2"/>
  <c r="F77" i="2"/>
  <c r="E77" i="2"/>
  <c r="D77" i="2"/>
  <c r="E82" i="2"/>
  <c r="F82" i="2" s="1"/>
  <c r="G82" i="2" s="1"/>
  <c r="H82" i="2" s="1"/>
  <c r="K14" i="1" s="1"/>
  <c r="K13" i="1"/>
  <c r="G13" i="1"/>
  <c r="G12" i="1"/>
  <c r="H13" i="1"/>
  <c r="H12" i="1"/>
  <c r="J13" i="1"/>
  <c r="J12" i="1"/>
  <c r="I12" i="1"/>
  <c r="I13" i="1"/>
  <c r="E53" i="2"/>
  <c r="G20" i="1"/>
  <c r="E49" i="2"/>
  <c r="G6" i="1"/>
  <c r="J19" i="1"/>
  <c r="G7" i="1"/>
  <c r="I19" i="1"/>
  <c r="H7" i="1"/>
  <c r="H19" i="1"/>
  <c r="I7" i="1"/>
  <c r="G19" i="1"/>
  <c r="J7" i="1"/>
  <c r="J20" i="1"/>
  <c r="G8" i="1"/>
  <c r="I20" i="1"/>
  <c r="H8" i="1"/>
  <c r="H20" i="1"/>
  <c r="I8" i="1"/>
  <c r="J8" i="1"/>
  <c r="G33" i="8"/>
  <c r="F33" i="8"/>
  <c r="E33" i="8"/>
  <c r="D33" i="8"/>
  <c r="D6" i="8"/>
  <c r="D7" i="8" s="1"/>
  <c r="E6" i="8" s="1"/>
  <c r="E7" i="8" s="1"/>
  <c r="F6" i="8" s="1"/>
  <c r="F7" i="8" s="1"/>
  <c r="G6" i="8" s="1"/>
  <c r="G7" i="8" s="1"/>
  <c r="H6" i="8" s="1"/>
  <c r="H7" i="8" s="1"/>
  <c r="C10" i="8"/>
  <c r="D9" i="8" s="1"/>
  <c r="D4" i="8"/>
  <c r="D5" i="8" s="1"/>
  <c r="E4" i="8" s="1"/>
  <c r="E5" i="8" s="1"/>
  <c r="F4" i="8" s="1"/>
  <c r="F5" i="8" s="1"/>
  <c r="G4" i="8" s="1"/>
  <c r="G5" i="8" s="1"/>
  <c r="H4" i="8" s="1"/>
  <c r="H5" i="8" s="1"/>
  <c r="E24" i="8"/>
  <c r="B92" i="3"/>
  <c r="I91" i="3"/>
  <c r="B91" i="3"/>
  <c r="B89" i="3"/>
  <c r="I88" i="3"/>
  <c r="B88" i="3"/>
  <c r="I90" i="3"/>
  <c r="B90" i="3"/>
  <c r="B84" i="3"/>
  <c r="D39" i="3"/>
  <c r="B83" i="3"/>
  <c r="I84" i="3"/>
  <c r="C38" i="3"/>
  <c r="I83" i="3"/>
  <c r="B18" i="4"/>
  <c r="C18" i="4"/>
  <c r="D62" i="2"/>
  <c r="E62" i="2" s="1"/>
  <c r="F15" i="1"/>
  <c r="D6" i="9" l="1"/>
  <c r="B15" i="5"/>
  <c r="E5" i="7"/>
  <c r="E10" i="7" s="1"/>
  <c r="D15" i="5" s="1"/>
  <c r="C12" i="7"/>
  <c r="C10" i="6" s="1"/>
  <c r="D11" i="7"/>
  <c r="C11" i="5" s="1"/>
  <c r="E5" i="9"/>
  <c r="H10" i="1"/>
  <c r="F66" i="2"/>
  <c r="C11" i="9"/>
  <c r="G25" i="1"/>
  <c r="D79" i="2"/>
  <c r="G11" i="1" s="1"/>
  <c r="E79" i="2"/>
  <c r="H11" i="1" s="1"/>
  <c r="D3" i="9"/>
  <c r="C10" i="9"/>
  <c r="C27" i="5" s="1"/>
  <c r="C28" i="5" s="1"/>
  <c r="D68" i="2" s="1"/>
  <c r="H14" i="1"/>
  <c r="F79" i="2"/>
  <c r="I11" i="1" s="1"/>
  <c r="G79" i="2"/>
  <c r="J11" i="1" s="1"/>
  <c r="H79" i="2"/>
  <c r="K11" i="1" s="1"/>
  <c r="J14" i="1"/>
  <c r="I14" i="1"/>
  <c r="H18" i="1"/>
  <c r="F53" i="2"/>
  <c r="F49" i="2"/>
  <c r="H6" i="1"/>
  <c r="C12" i="8"/>
  <c r="D11" i="8" s="1"/>
  <c r="D12" i="8" s="1"/>
  <c r="E11" i="8" s="1"/>
  <c r="D10" i="8"/>
  <c r="F24" i="8"/>
  <c r="D38" i="3"/>
  <c r="E39" i="3"/>
  <c r="A1" i="6"/>
  <c r="B147" i="3"/>
  <c r="F47" i="1"/>
  <c r="A1" i="5"/>
  <c r="G26" i="1" l="1"/>
  <c r="G28" i="1" s="1"/>
  <c r="D12" i="7"/>
  <c r="D10" i="6" s="1"/>
  <c r="F5" i="7"/>
  <c r="G5" i="7" s="1"/>
  <c r="E11" i="7"/>
  <c r="D11" i="5" s="1"/>
  <c r="F5" i="9"/>
  <c r="G5" i="9" s="1"/>
  <c r="H5" i="9" s="1"/>
  <c r="E7" i="9"/>
  <c r="D9" i="9"/>
  <c r="D9" i="6" s="1"/>
  <c r="C7" i="5" s="1"/>
  <c r="H49" i="1"/>
  <c r="H25" i="1"/>
  <c r="E6" i="9"/>
  <c r="I10" i="1"/>
  <c r="G66" i="2"/>
  <c r="D10" i="9"/>
  <c r="D27" i="5" s="1"/>
  <c r="D28" i="5" s="1"/>
  <c r="E68" i="2" s="1"/>
  <c r="C12" i="6"/>
  <c r="D11" i="9"/>
  <c r="G53" i="2"/>
  <c r="I18" i="1"/>
  <c r="G49" i="2"/>
  <c r="I6" i="1"/>
  <c r="E9" i="8"/>
  <c r="E12" i="8"/>
  <c r="G24" i="8"/>
  <c r="F39" i="3"/>
  <c r="E38" i="3"/>
  <c r="B7" i="6"/>
  <c r="B14" i="6" s="1"/>
  <c r="B28" i="6" s="1"/>
  <c r="H37" i="3"/>
  <c r="M172" i="4"/>
  <c r="L172" i="4"/>
  <c r="E176" i="4"/>
  <c r="C177" i="4" s="1"/>
  <c r="A175" i="4"/>
  <c r="A171" i="4"/>
  <c r="A157" i="4"/>
  <c r="A143" i="4"/>
  <c r="A129" i="4"/>
  <c r="A115" i="4"/>
  <c r="A101" i="4"/>
  <c r="A87" i="4"/>
  <c r="A73" i="4"/>
  <c r="A59" i="4"/>
  <c r="A45" i="4"/>
  <c r="A31" i="4"/>
  <c r="A1" i="4"/>
  <c r="D18" i="4"/>
  <c r="B19" i="4" s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F9" i="1"/>
  <c r="B84" i="2"/>
  <c r="D84" i="2" s="1"/>
  <c r="G15" i="1" s="1"/>
  <c r="B30" i="2"/>
  <c r="B64" i="2"/>
  <c r="D64" i="2" s="1"/>
  <c r="B127" i="3"/>
  <c r="C127" i="3" s="1"/>
  <c r="D127" i="3" s="1"/>
  <c r="E127" i="3" s="1"/>
  <c r="F127" i="3" s="1"/>
  <c r="G127" i="3" s="1"/>
  <c r="H141" i="3"/>
  <c r="I22" i="3"/>
  <c r="J22" i="3" s="1"/>
  <c r="K22" i="3" s="1"/>
  <c r="L22" i="3" s="1"/>
  <c r="M22" i="3" s="1"/>
  <c r="N22" i="3" s="1"/>
  <c r="B22" i="3"/>
  <c r="C22" i="3" s="1"/>
  <c r="D22" i="3" s="1"/>
  <c r="E22" i="3" s="1"/>
  <c r="F22" i="3" s="1"/>
  <c r="G22" i="3" s="1"/>
  <c r="I15" i="3"/>
  <c r="J15" i="3" s="1"/>
  <c r="K15" i="3" s="1"/>
  <c r="L15" i="3" s="1"/>
  <c r="M15" i="3" s="1"/>
  <c r="N15" i="3" s="1"/>
  <c r="B15" i="3"/>
  <c r="C15" i="3" s="1"/>
  <c r="D15" i="3" s="1"/>
  <c r="E15" i="3" s="1"/>
  <c r="F15" i="3" s="1"/>
  <c r="G15" i="3" s="1"/>
  <c r="H26" i="1" l="1"/>
  <c r="H28" i="1" s="1"/>
  <c r="E12" i="7"/>
  <c r="E10" i="6" s="1"/>
  <c r="F10" i="7"/>
  <c r="E15" i="5" s="1"/>
  <c r="F11" i="7"/>
  <c r="E11" i="5" s="1"/>
  <c r="J10" i="1"/>
  <c r="H66" i="2"/>
  <c r="K10" i="1" s="1"/>
  <c r="E3" i="9"/>
  <c r="H5" i="7"/>
  <c r="H10" i="7" s="1"/>
  <c r="G10" i="7"/>
  <c r="J18" i="1"/>
  <c r="H53" i="2"/>
  <c r="K18" i="1" s="1"/>
  <c r="H49" i="2"/>
  <c r="K6" i="1" s="1"/>
  <c r="J6" i="1"/>
  <c r="F11" i="8"/>
  <c r="E10" i="8"/>
  <c r="H24" i="8"/>
  <c r="F38" i="3"/>
  <c r="G39" i="3"/>
  <c r="E84" i="2"/>
  <c r="G9" i="1"/>
  <c r="E64" i="2"/>
  <c r="I176" i="4"/>
  <c r="J176" i="4" s="1"/>
  <c r="D176" i="4"/>
  <c r="B177" i="4" s="1"/>
  <c r="I18" i="4"/>
  <c r="J18" i="4" s="1"/>
  <c r="K18" i="4" s="1"/>
  <c r="E18" i="4"/>
  <c r="C19" i="4" s="1"/>
  <c r="A1" i="3"/>
  <c r="I114" i="3"/>
  <c r="J114" i="3" s="1"/>
  <c r="K114" i="3" s="1"/>
  <c r="L114" i="3" s="1"/>
  <c r="M114" i="3" s="1"/>
  <c r="N114" i="3" s="1"/>
  <c r="O95" i="3"/>
  <c r="I95" i="3"/>
  <c r="J95" i="3" s="1"/>
  <c r="K95" i="3" s="1"/>
  <c r="L95" i="3" s="1"/>
  <c r="M95" i="3" s="1"/>
  <c r="N95" i="3" s="1"/>
  <c r="I81" i="3"/>
  <c r="J81" i="3" s="1"/>
  <c r="K81" i="3" s="1"/>
  <c r="L81" i="3" s="1"/>
  <c r="M81" i="3" s="1"/>
  <c r="N81" i="3" s="1"/>
  <c r="O68" i="3"/>
  <c r="O62" i="3"/>
  <c r="H68" i="3"/>
  <c r="I62" i="3"/>
  <c r="I61" i="3"/>
  <c r="J61" i="3" s="1"/>
  <c r="K61" i="3" s="1"/>
  <c r="L61" i="3" s="1"/>
  <c r="M61" i="3" s="1"/>
  <c r="N61" i="3" s="1"/>
  <c r="I68" i="3"/>
  <c r="I67" i="3"/>
  <c r="J67" i="3" s="1"/>
  <c r="K67" i="3" s="1"/>
  <c r="L67" i="3" s="1"/>
  <c r="M67" i="3" s="1"/>
  <c r="N67" i="3" s="1"/>
  <c r="H62" i="3"/>
  <c r="O43" i="3"/>
  <c r="I44" i="3"/>
  <c r="I43" i="3"/>
  <c r="J43" i="3" s="1"/>
  <c r="K43" i="3" s="1"/>
  <c r="L43" i="3" s="1"/>
  <c r="M43" i="3" s="1"/>
  <c r="N43" i="3" s="1"/>
  <c r="O37" i="3"/>
  <c r="I36" i="3"/>
  <c r="J36" i="3" s="1"/>
  <c r="K36" i="3" s="1"/>
  <c r="L36" i="3" s="1"/>
  <c r="M36" i="3" s="1"/>
  <c r="N36" i="3" s="1"/>
  <c r="B36" i="3"/>
  <c r="C36" i="3" s="1"/>
  <c r="D36" i="3" s="1"/>
  <c r="E36" i="3" s="1"/>
  <c r="F36" i="3" s="1"/>
  <c r="G36" i="3" s="1"/>
  <c r="J40" i="3"/>
  <c r="K40" i="3" s="1"/>
  <c r="L40" i="3" s="1"/>
  <c r="M40" i="3" s="1"/>
  <c r="N40" i="3" s="1"/>
  <c r="I37" i="3"/>
  <c r="N3" i="3"/>
  <c r="K3" i="3"/>
  <c r="I65" i="3"/>
  <c r="B65" i="3"/>
  <c r="D1" i="2"/>
  <c r="D7" i="2" s="1"/>
  <c r="C46" i="4" s="1"/>
  <c r="C34" i="2"/>
  <c r="C32" i="2"/>
  <c r="C42" i="8" s="1"/>
  <c r="B31" i="2"/>
  <c r="B33" i="2" s="1"/>
  <c r="C20" i="2"/>
  <c r="C16" i="2"/>
  <c r="C4" i="2"/>
  <c r="B43" i="3"/>
  <c r="C43" i="3" s="1"/>
  <c r="D43" i="3" s="1"/>
  <c r="E43" i="3" s="1"/>
  <c r="F43" i="3" s="1"/>
  <c r="G43" i="3" s="1"/>
  <c r="B37" i="3"/>
  <c r="H95" i="3"/>
  <c r="B95" i="3"/>
  <c r="C95" i="3" s="1"/>
  <c r="D95" i="3" s="1"/>
  <c r="E95" i="3" s="1"/>
  <c r="F95" i="3" s="1"/>
  <c r="G95" i="3" s="1"/>
  <c r="B81" i="3"/>
  <c r="C81" i="3" s="1"/>
  <c r="D81" i="3" s="1"/>
  <c r="E81" i="3" s="1"/>
  <c r="F81" i="3" s="1"/>
  <c r="G81" i="3" s="1"/>
  <c r="B154" i="3"/>
  <c r="B141" i="3"/>
  <c r="C141" i="3" s="1"/>
  <c r="D141" i="3" s="1"/>
  <c r="E141" i="3" s="1"/>
  <c r="F141" i="3" s="1"/>
  <c r="G141" i="3" s="1"/>
  <c r="B114" i="3"/>
  <c r="C114" i="3" s="1"/>
  <c r="D114" i="3" s="1"/>
  <c r="E114" i="3" s="1"/>
  <c r="F114" i="3" s="1"/>
  <c r="G114" i="3" s="1"/>
  <c r="B67" i="3"/>
  <c r="C67" i="3" s="1"/>
  <c r="D67" i="3" s="1"/>
  <c r="E67" i="3" s="1"/>
  <c r="F67" i="3" s="1"/>
  <c r="G67" i="3" s="1"/>
  <c r="B61" i="3"/>
  <c r="C61" i="3" s="1"/>
  <c r="D61" i="3" s="1"/>
  <c r="E61" i="3" s="1"/>
  <c r="F61" i="3" s="1"/>
  <c r="G61" i="3" s="1"/>
  <c r="F31" i="1"/>
  <c r="G31" i="1" s="1"/>
  <c r="H31" i="1" s="1"/>
  <c r="I31" i="1" s="1"/>
  <c r="J31" i="1" s="1"/>
  <c r="K31" i="1" s="1"/>
  <c r="B142" i="3"/>
  <c r="B68" i="3"/>
  <c r="O3" i="3"/>
  <c r="H43" i="3"/>
  <c r="B62" i="3"/>
  <c r="B44" i="3"/>
  <c r="G3" i="3"/>
  <c r="D3" i="3"/>
  <c r="F3" i="1"/>
  <c r="G11" i="7" l="1"/>
  <c r="F11" i="5" s="1"/>
  <c r="F12" i="7"/>
  <c r="F10" i="6" s="1"/>
  <c r="G15" i="5"/>
  <c r="F15" i="5"/>
  <c r="I49" i="1"/>
  <c r="F7" i="9"/>
  <c r="A36" i="1"/>
  <c r="C91" i="2"/>
  <c r="C43" i="2"/>
  <c r="F6" i="9"/>
  <c r="E9" i="9"/>
  <c r="E9" i="6" s="1"/>
  <c r="C149" i="3"/>
  <c r="D149" i="3" s="1"/>
  <c r="E149" i="3" s="1"/>
  <c r="F149" i="3" s="1"/>
  <c r="G149" i="3" s="1"/>
  <c r="C147" i="3"/>
  <c r="D147" i="3" s="1"/>
  <c r="E147" i="3" s="1"/>
  <c r="F147" i="3" s="1"/>
  <c r="G147" i="3" s="1"/>
  <c r="C2" i="9"/>
  <c r="B2" i="9" s="1"/>
  <c r="C2" i="7"/>
  <c r="B2" i="7" s="1"/>
  <c r="C2" i="6"/>
  <c r="C37" i="8"/>
  <c r="C23" i="8"/>
  <c r="E10" i="9"/>
  <c r="E27" i="5" s="1"/>
  <c r="E28" i="5" s="1"/>
  <c r="F68" i="2" s="1"/>
  <c r="B102" i="3"/>
  <c r="C102" i="3" s="1"/>
  <c r="D102" i="3" s="1"/>
  <c r="E102" i="3" s="1"/>
  <c r="F102" i="3" s="1"/>
  <c r="G102" i="3" s="1"/>
  <c r="I102" i="3"/>
  <c r="J102" i="3" s="1"/>
  <c r="K102" i="3" s="1"/>
  <c r="L102" i="3" s="1"/>
  <c r="M102" i="3" s="1"/>
  <c r="N102" i="3" s="1"/>
  <c r="C150" i="3"/>
  <c r="D150" i="3" s="1"/>
  <c r="E150" i="3" s="1"/>
  <c r="F150" i="3" s="1"/>
  <c r="G150" i="3" s="1"/>
  <c r="D12" i="6"/>
  <c r="C148" i="3"/>
  <c r="D148" i="3" s="1"/>
  <c r="E148" i="3" s="1"/>
  <c r="F148" i="3" s="1"/>
  <c r="G148" i="3" s="1"/>
  <c r="C146" i="3"/>
  <c r="D146" i="3" s="1"/>
  <c r="E146" i="3" s="1"/>
  <c r="F146" i="3" s="1"/>
  <c r="G146" i="3" s="1"/>
  <c r="C144" i="3"/>
  <c r="D144" i="3" s="1"/>
  <c r="E144" i="3" s="1"/>
  <c r="F144" i="3" s="1"/>
  <c r="G144" i="3" s="1"/>
  <c r="C143" i="3"/>
  <c r="D143" i="3" s="1"/>
  <c r="E143" i="3" s="1"/>
  <c r="F143" i="3" s="1"/>
  <c r="G143" i="3" s="1"/>
  <c r="C145" i="3"/>
  <c r="D145" i="3" s="1"/>
  <c r="E145" i="3" s="1"/>
  <c r="F145" i="3" s="1"/>
  <c r="G145" i="3" s="1"/>
  <c r="C48" i="2"/>
  <c r="C151" i="3"/>
  <c r="D151" i="3" s="1"/>
  <c r="E151" i="3" s="1"/>
  <c r="F151" i="3" s="1"/>
  <c r="G151" i="3" s="1"/>
  <c r="C154" i="3"/>
  <c r="D22" i="7"/>
  <c r="F12" i="8"/>
  <c r="F9" i="8"/>
  <c r="J64" i="3"/>
  <c r="C64" i="3"/>
  <c r="J63" i="3"/>
  <c r="C63" i="3"/>
  <c r="C76" i="3"/>
  <c r="D76" i="3" s="1"/>
  <c r="E76" i="3" s="1"/>
  <c r="F76" i="3" s="1"/>
  <c r="G76" i="3" s="1"/>
  <c r="C73" i="3"/>
  <c r="D73" i="3" s="1"/>
  <c r="E73" i="3" s="1"/>
  <c r="F73" i="3" s="1"/>
  <c r="G73" i="3" s="1"/>
  <c r="C74" i="3"/>
  <c r="D74" i="3" s="1"/>
  <c r="E74" i="3" s="1"/>
  <c r="F74" i="3" s="1"/>
  <c r="G74" i="3" s="1"/>
  <c r="C72" i="3"/>
  <c r="D72" i="3" s="1"/>
  <c r="E72" i="3" s="1"/>
  <c r="F72" i="3" s="1"/>
  <c r="G72" i="3" s="1"/>
  <c r="C71" i="3"/>
  <c r="D71" i="3" s="1"/>
  <c r="E71" i="3" s="1"/>
  <c r="F71" i="3" s="1"/>
  <c r="G71" i="3" s="1"/>
  <c r="C75" i="3"/>
  <c r="D75" i="3" s="1"/>
  <c r="E75" i="3" s="1"/>
  <c r="F75" i="3" s="1"/>
  <c r="G75" i="3" s="1"/>
  <c r="C77" i="3"/>
  <c r="D77" i="3" s="1"/>
  <c r="E77" i="3" s="1"/>
  <c r="F77" i="3" s="1"/>
  <c r="G77" i="3" s="1"/>
  <c r="C70" i="3"/>
  <c r="D70" i="3" s="1"/>
  <c r="E70" i="3" s="1"/>
  <c r="F70" i="3" s="1"/>
  <c r="G70" i="3" s="1"/>
  <c r="C69" i="3"/>
  <c r="D69" i="3" s="1"/>
  <c r="E69" i="3" s="1"/>
  <c r="F69" i="3" s="1"/>
  <c r="G69" i="3" s="1"/>
  <c r="C78" i="3"/>
  <c r="D78" i="3" s="1"/>
  <c r="E78" i="3" s="1"/>
  <c r="F78" i="3" s="1"/>
  <c r="G78" i="3" s="1"/>
  <c r="J71" i="3"/>
  <c r="K71" i="3" s="1"/>
  <c r="L71" i="3" s="1"/>
  <c r="M71" i="3" s="1"/>
  <c r="N71" i="3" s="1"/>
  <c r="J73" i="3"/>
  <c r="K73" i="3" s="1"/>
  <c r="L73" i="3" s="1"/>
  <c r="M73" i="3" s="1"/>
  <c r="N73" i="3" s="1"/>
  <c r="J69" i="3"/>
  <c r="K69" i="3" s="1"/>
  <c r="L69" i="3" s="1"/>
  <c r="M69" i="3" s="1"/>
  <c r="N69" i="3" s="1"/>
  <c r="J77" i="3"/>
  <c r="K77" i="3" s="1"/>
  <c r="L77" i="3" s="1"/>
  <c r="M77" i="3" s="1"/>
  <c r="N77" i="3" s="1"/>
  <c r="J72" i="3"/>
  <c r="K72" i="3" s="1"/>
  <c r="L72" i="3" s="1"/>
  <c r="M72" i="3" s="1"/>
  <c r="N72" i="3" s="1"/>
  <c r="J74" i="3"/>
  <c r="K74" i="3" s="1"/>
  <c r="L74" i="3" s="1"/>
  <c r="M74" i="3" s="1"/>
  <c r="N74" i="3" s="1"/>
  <c r="J70" i="3"/>
  <c r="K70" i="3" s="1"/>
  <c r="L70" i="3" s="1"/>
  <c r="M70" i="3" s="1"/>
  <c r="N70" i="3" s="1"/>
  <c r="J78" i="3"/>
  <c r="K78" i="3" s="1"/>
  <c r="L78" i="3" s="1"/>
  <c r="M78" i="3" s="1"/>
  <c r="N78" i="3" s="1"/>
  <c r="J76" i="3"/>
  <c r="K76" i="3" s="1"/>
  <c r="L76" i="3" s="1"/>
  <c r="M76" i="3" s="1"/>
  <c r="N76" i="3" s="1"/>
  <c r="J75" i="3"/>
  <c r="K75" i="3" s="1"/>
  <c r="L75" i="3" s="1"/>
  <c r="M75" i="3" s="1"/>
  <c r="N75" i="3" s="1"/>
  <c r="G38" i="3"/>
  <c r="B57" i="3"/>
  <c r="I97" i="3"/>
  <c r="K6" i="3"/>
  <c r="I100" i="3" s="1"/>
  <c r="K4" i="3"/>
  <c r="I98" i="3" s="1"/>
  <c r="K5" i="3"/>
  <c r="I99" i="3" s="1"/>
  <c r="G9" i="3"/>
  <c r="B108" i="3" s="1"/>
  <c r="B121" i="3" s="1"/>
  <c r="G10" i="3"/>
  <c r="B109" i="3" s="1"/>
  <c r="G4" i="3"/>
  <c r="B103" i="3" s="1"/>
  <c r="C103" i="3" s="1"/>
  <c r="D103" i="3" s="1"/>
  <c r="E103" i="3" s="1"/>
  <c r="F103" i="3" s="1"/>
  <c r="G103" i="3" s="1"/>
  <c r="G11" i="3"/>
  <c r="B110" i="3" s="1"/>
  <c r="G5" i="3"/>
  <c r="B104" i="3" s="1"/>
  <c r="C104" i="3" s="1"/>
  <c r="D104" i="3" s="1"/>
  <c r="E104" i="3" s="1"/>
  <c r="F104" i="3" s="1"/>
  <c r="G104" i="3" s="1"/>
  <c r="G12" i="3"/>
  <c r="B111" i="3" s="1"/>
  <c r="G6" i="3"/>
  <c r="B105" i="3" s="1"/>
  <c r="C105" i="3" s="1"/>
  <c r="D105" i="3" s="1"/>
  <c r="E105" i="3" s="1"/>
  <c r="F105" i="3" s="1"/>
  <c r="G105" i="3" s="1"/>
  <c r="G8" i="3"/>
  <c r="B107" i="3" s="1"/>
  <c r="B120" i="3" s="1"/>
  <c r="N7" i="3"/>
  <c r="I106" i="3" s="1"/>
  <c r="I119" i="3" s="1"/>
  <c r="N8" i="3"/>
  <c r="N9" i="3"/>
  <c r="I108" i="3" s="1"/>
  <c r="N10" i="3"/>
  <c r="I109" i="3" s="1"/>
  <c r="N11" i="3"/>
  <c r="I110" i="3" s="1"/>
  <c r="N12" i="3"/>
  <c r="I111" i="3" s="1"/>
  <c r="N13" i="3"/>
  <c r="I112" i="3" s="1"/>
  <c r="N4" i="3"/>
  <c r="I103" i="3" s="1"/>
  <c r="J103" i="3" s="1"/>
  <c r="K103" i="3" s="1"/>
  <c r="L103" i="3" s="1"/>
  <c r="M103" i="3" s="1"/>
  <c r="N103" i="3" s="1"/>
  <c r="N5" i="3"/>
  <c r="I104" i="3" s="1"/>
  <c r="J104" i="3" s="1"/>
  <c r="K104" i="3" s="1"/>
  <c r="L104" i="3" s="1"/>
  <c r="M104" i="3" s="1"/>
  <c r="N104" i="3" s="1"/>
  <c r="N6" i="3"/>
  <c r="I105" i="3" s="1"/>
  <c r="J105" i="3" s="1"/>
  <c r="K105" i="3" s="1"/>
  <c r="L105" i="3" s="1"/>
  <c r="M105" i="3" s="1"/>
  <c r="N105" i="3" s="1"/>
  <c r="B97" i="3"/>
  <c r="D4" i="3"/>
  <c r="B98" i="3" s="1"/>
  <c r="D5" i="3"/>
  <c r="B99" i="3" s="1"/>
  <c r="D6" i="3"/>
  <c r="B100" i="3" s="1"/>
  <c r="B32" i="4"/>
  <c r="F176" i="4"/>
  <c r="H15" i="1"/>
  <c r="F84" i="2"/>
  <c r="B2" i="5"/>
  <c r="B22" i="5" s="1"/>
  <c r="C142" i="3"/>
  <c r="D142" i="3" s="1"/>
  <c r="E142" i="3" s="1"/>
  <c r="F142" i="3" s="1"/>
  <c r="G142" i="3" s="1"/>
  <c r="C152" i="3"/>
  <c r="D152" i="3" s="1"/>
  <c r="E152" i="3" s="1"/>
  <c r="F152" i="3" s="1"/>
  <c r="G152" i="3" s="1"/>
  <c r="B58" i="3"/>
  <c r="B82" i="3"/>
  <c r="E7" i="2"/>
  <c r="C74" i="4" s="1"/>
  <c r="E46" i="4"/>
  <c r="F64" i="2"/>
  <c r="H9" i="1"/>
  <c r="F18" i="4"/>
  <c r="I86" i="3"/>
  <c r="C37" i="3"/>
  <c r="I87" i="3"/>
  <c r="J37" i="3"/>
  <c r="K37" i="3" s="1"/>
  <c r="L37" i="3" s="1"/>
  <c r="M37" i="3" s="1"/>
  <c r="N37" i="3" s="1"/>
  <c r="I85" i="3"/>
  <c r="B85" i="3"/>
  <c r="J65" i="3"/>
  <c r="J62" i="3"/>
  <c r="K62" i="3" s="1"/>
  <c r="L62" i="3" s="1"/>
  <c r="M62" i="3" s="1"/>
  <c r="N62" i="3" s="1"/>
  <c r="J68" i="3"/>
  <c r="K68" i="3" s="1"/>
  <c r="L68" i="3" s="1"/>
  <c r="M68" i="3" s="1"/>
  <c r="N68" i="3" s="1"/>
  <c r="I82" i="3"/>
  <c r="C65" i="3"/>
  <c r="D65" i="3" s="1"/>
  <c r="E65" i="3" s="1"/>
  <c r="F65" i="3" s="1"/>
  <c r="G65" i="3" s="1"/>
  <c r="I55" i="3"/>
  <c r="J45" i="3" s="1"/>
  <c r="B87" i="3"/>
  <c r="D31" i="2"/>
  <c r="D3" i="2"/>
  <c r="D33" i="2"/>
  <c r="D34" i="2" s="1"/>
  <c r="C17" i="2"/>
  <c r="B7" i="2"/>
  <c r="C8" i="2"/>
  <c r="B86" i="3"/>
  <c r="C62" i="3"/>
  <c r="D62" i="3" s="1"/>
  <c r="E62" i="3" s="1"/>
  <c r="F62" i="3" s="1"/>
  <c r="G62" i="3" s="1"/>
  <c r="C68" i="3"/>
  <c r="D68" i="3" s="1"/>
  <c r="E68" i="3" s="1"/>
  <c r="F68" i="3" s="1"/>
  <c r="G68" i="3" s="1"/>
  <c r="B55" i="3"/>
  <c r="G13" i="3"/>
  <c r="B112" i="3" s="1"/>
  <c r="B125" i="3" s="1"/>
  <c r="G7" i="3"/>
  <c r="B106" i="3" s="1"/>
  <c r="G3" i="1"/>
  <c r="B46" i="4" l="1"/>
  <c r="C47" i="4" s="1"/>
  <c r="H11" i="7"/>
  <c r="G11" i="5" s="1"/>
  <c r="G12" i="7"/>
  <c r="G10" i="6" s="1"/>
  <c r="A22" i="9"/>
  <c r="A23" i="9"/>
  <c r="C2" i="5"/>
  <c r="C22" i="5" s="1"/>
  <c r="A37" i="1"/>
  <c r="D91" i="2"/>
  <c r="D86" i="2" s="1"/>
  <c r="E12" i="6"/>
  <c r="D7" i="5"/>
  <c r="D2" i="9"/>
  <c r="D37" i="8"/>
  <c r="D2" i="7"/>
  <c r="C2" i="8"/>
  <c r="C14" i="8"/>
  <c r="B2" i="6"/>
  <c r="B14" i="7" s="1"/>
  <c r="C14" i="7"/>
  <c r="F3" i="9"/>
  <c r="G7" i="9" s="1"/>
  <c r="I25" i="1"/>
  <c r="E11" i="9"/>
  <c r="B115" i="3"/>
  <c r="D32" i="2"/>
  <c r="E31" i="2" s="1"/>
  <c r="J106" i="3"/>
  <c r="K106" i="3" s="1"/>
  <c r="D154" i="3"/>
  <c r="E22" i="7"/>
  <c r="D48" i="2"/>
  <c r="D36" i="2" s="1"/>
  <c r="D2" i="2" s="1"/>
  <c r="D23" i="8"/>
  <c r="D43" i="2"/>
  <c r="G11" i="8"/>
  <c r="F10" i="8"/>
  <c r="C100" i="3"/>
  <c r="B118" i="3"/>
  <c r="J108" i="3"/>
  <c r="I121" i="3"/>
  <c r="B161" i="3" s="1"/>
  <c r="J99" i="3"/>
  <c r="I117" i="3"/>
  <c r="C99" i="3"/>
  <c r="B117" i="3"/>
  <c r="I116" i="3"/>
  <c r="J98" i="3"/>
  <c r="C98" i="3"/>
  <c r="B116" i="3"/>
  <c r="I118" i="3"/>
  <c r="J100" i="3"/>
  <c r="J97" i="3"/>
  <c r="K97" i="3" s="1"/>
  <c r="I115" i="3"/>
  <c r="J109" i="3"/>
  <c r="I122" i="3"/>
  <c r="C111" i="3"/>
  <c r="B124" i="3"/>
  <c r="J112" i="3"/>
  <c r="I125" i="3"/>
  <c r="B165" i="3" s="1"/>
  <c r="D34" i="7" s="1"/>
  <c r="C110" i="3"/>
  <c r="B123" i="3"/>
  <c r="J111" i="3"/>
  <c r="I124" i="3"/>
  <c r="C106" i="3"/>
  <c r="B119" i="3"/>
  <c r="B159" i="3" s="1"/>
  <c r="J110" i="3"/>
  <c r="I123" i="3"/>
  <c r="C109" i="3"/>
  <c r="B122" i="3"/>
  <c r="K64" i="3"/>
  <c r="I107" i="3"/>
  <c r="D63" i="3"/>
  <c r="K63" i="3"/>
  <c r="J83" i="3"/>
  <c r="C112" i="3"/>
  <c r="C97" i="3"/>
  <c r="D64" i="3"/>
  <c r="C57" i="3"/>
  <c r="J44" i="3"/>
  <c r="J82" i="3" s="1"/>
  <c r="J47" i="3"/>
  <c r="J54" i="3"/>
  <c r="J92" i="3" s="1"/>
  <c r="J49" i="3"/>
  <c r="J87" i="3" s="1"/>
  <c r="J52" i="3"/>
  <c r="J90" i="3" s="1"/>
  <c r="J50" i="3"/>
  <c r="J88" i="3" s="1"/>
  <c r="J48" i="3"/>
  <c r="J51" i="3"/>
  <c r="J89" i="3" s="1"/>
  <c r="J46" i="3"/>
  <c r="J84" i="3" s="1"/>
  <c r="J53" i="3"/>
  <c r="J91" i="3" s="1"/>
  <c r="C44" i="3"/>
  <c r="C45" i="3"/>
  <c r="C83" i="3" s="1"/>
  <c r="C47" i="3"/>
  <c r="C85" i="3" s="1"/>
  <c r="C49" i="3"/>
  <c r="C54" i="3"/>
  <c r="C92" i="3" s="1"/>
  <c r="C52" i="3"/>
  <c r="C90" i="3" s="1"/>
  <c r="C46" i="3"/>
  <c r="C84" i="3" s="1"/>
  <c r="C48" i="3"/>
  <c r="C50" i="3"/>
  <c r="C88" i="3" s="1"/>
  <c r="C51" i="3"/>
  <c r="C89" i="3" s="1"/>
  <c r="C53" i="3"/>
  <c r="C91" i="3" s="1"/>
  <c r="C32" i="4"/>
  <c r="D32" i="4"/>
  <c r="H177" i="4"/>
  <c r="G177" i="4"/>
  <c r="O32" i="4"/>
  <c r="H19" i="4"/>
  <c r="G19" i="4"/>
  <c r="I15" i="1"/>
  <c r="G84" i="2"/>
  <c r="H84" i="2" s="1"/>
  <c r="D2" i="6"/>
  <c r="D14" i="7" s="1"/>
  <c r="D37" i="3"/>
  <c r="D57" i="3" s="1"/>
  <c r="C58" i="3"/>
  <c r="E3" i="2"/>
  <c r="A32" i="4"/>
  <c r="G64" i="2"/>
  <c r="I9" i="1"/>
  <c r="F7" i="2"/>
  <c r="C102" i="4" s="1"/>
  <c r="E74" i="4"/>
  <c r="E177" i="4"/>
  <c r="I177" i="4"/>
  <c r="J177" i="4" s="1"/>
  <c r="D177" i="4"/>
  <c r="E19" i="4"/>
  <c r="K65" i="3"/>
  <c r="D16" i="2"/>
  <c r="C107" i="3"/>
  <c r="C108" i="3"/>
  <c r="D4" i="2"/>
  <c r="E33" i="2"/>
  <c r="E34" i="2" s="1"/>
  <c r="D20" i="2"/>
  <c r="C21" i="2"/>
  <c r="D8" i="2"/>
  <c r="H3" i="1"/>
  <c r="A20" i="4" l="1"/>
  <c r="A21" i="4"/>
  <c r="B74" i="4"/>
  <c r="C75" i="4" s="1"/>
  <c r="B60" i="4"/>
  <c r="C178" i="4"/>
  <c r="I26" i="1"/>
  <c r="I28" i="1" s="1"/>
  <c r="B178" i="4"/>
  <c r="H12" i="7"/>
  <c r="H10" i="6" s="1"/>
  <c r="D2" i="5"/>
  <c r="D22" i="5" s="1"/>
  <c r="A38" i="1"/>
  <c r="E91" i="2"/>
  <c r="F9" i="9"/>
  <c r="F9" i="6" s="1"/>
  <c r="E7" i="5" s="1"/>
  <c r="J49" i="1"/>
  <c r="D42" i="8"/>
  <c r="J25" i="1"/>
  <c r="G6" i="9"/>
  <c r="D14" i="8"/>
  <c r="D2" i="8"/>
  <c r="F11" i="9"/>
  <c r="E37" i="8"/>
  <c r="E2" i="7"/>
  <c r="E2" i="9"/>
  <c r="E32" i="2"/>
  <c r="F31" i="2" s="1"/>
  <c r="J119" i="3"/>
  <c r="B158" i="3"/>
  <c r="B162" i="3"/>
  <c r="B157" i="3"/>
  <c r="B164" i="3"/>
  <c r="C120" i="3"/>
  <c r="C20" i="4"/>
  <c r="E48" i="2"/>
  <c r="E23" i="8"/>
  <c r="E43" i="2"/>
  <c r="B163" i="3"/>
  <c r="B156" i="3"/>
  <c r="E154" i="3"/>
  <c r="F22" i="7"/>
  <c r="G12" i="8"/>
  <c r="G9" i="8"/>
  <c r="D110" i="3"/>
  <c r="C123" i="3"/>
  <c r="D98" i="3"/>
  <c r="C116" i="3"/>
  <c r="K98" i="3"/>
  <c r="J116" i="3"/>
  <c r="D109" i="3"/>
  <c r="C122" i="3"/>
  <c r="L106" i="3"/>
  <c r="K100" i="3"/>
  <c r="J118" i="3"/>
  <c r="D100" i="3"/>
  <c r="C118" i="3"/>
  <c r="D99" i="3"/>
  <c r="C117" i="3"/>
  <c r="D106" i="3"/>
  <c r="C119" i="3"/>
  <c r="K99" i="3"/>
  <c r="J117" i="3"/>
  <c r="J107" i="3"/>
  <c r="I120" i="3"/>
  <c r="B160" i="3" s="1"/>
  <c r="K110" i="3"/>
  <c r="J123" i="3"/>
  <c r="D111" i="3"/>
  <c r="C124" i="3"/>
  <c r="C115" i="3"/>
  <c r="D112" i="3"/>
  <c r="C125" i="3"/>
  <c r="K109" i="3"/>
  <c r="J122" i="3"/>
  <c r="D108" i="3"/>
  <c r="C121" i="3"/>
  <c r="K111" i="3"/>
  <c r="J124" i="3"/>
  <c r="J115" i="3"/>
  <c r="K108" i="3"/>
  <c r="J121" i="3"/>
  <c r="K112" i="3"/>
  <c r="J125" i="3"/>
  <c r="D97" i="3"/>
  <c r="L63" i="3"/>
  <c r="E63" i="3"/>
  <c r="E64" i="3"/>
  <c r="L64" i="3"/>
  <c r="I32" i="4"/>
  <c r="J32" i="4" s="1"/>
  <c r="K32" i="4" s="1"/>
  <c r="E32" i="4"/>
  <c r="F32" i="4" s="1"/>
  <c r="H33" i="4" s="1"/>
  <c r="B33" i="4"/>
  <c r="D33" i="4" s="1"/>
  <c r="C60" i="4"/>
  <c r="E60" i="4" s="1"/>
  <c r="K15" i="1"/>
  <c r="J15" i="1"/>
  <c r="E2" i="6"/>
  <c r="E14" i="7" s="1"/>
  <c r="E37" i="3"/>
  <c r="E57" i="3" s="1"/>
  <c r="D58" i="3"/>
  <c r="F3" i="2"/>
  <c r="E16" i="2"/>
  <c r="N114" i="4"/>
  <c r="N58" i="4"/>
  <c r="N142" i="4"/>
  <c r="N44" i="4"/>
  <c r="N72" i="4"/>
  <c r="N30" i="4"/>
  <c r="N100" i="4"/>
  <c r="N16" i="4"/>
  <c r="N170" i="4"/>
  <c r="N128" i="4"/>
  <c r="N86" i="4"/>
  <c r="N156" i="4"/>
  <c r="D17" i="2"/>
  <c r="E4" i="2"/>
  <c r="G7" i="2"/>
  <c r="C130" i="4" s="1"/>
  <c r="E102" i="4"/>
  <c r="H64" i="2"/>
  <c r="K9" i="1" s="1"/>
  <c r="J9" i="1"/>
  <c r="D46" i="4"/>
  <c r="B47" i="4" s="1"/>
  <c r="I46" i="4"/>
  <c r="J46" i="4" s="1"/>
  <c r="K46" i="4" s="1"/>
  <c r="N32" i="4"/>
  <c r="F177" i="4"/>
  <c r="J86" i="3"/>
  <c r="J85" i="3"/>
  <c r="B155" i="3"/>
  <c r="L97" i="3"/>
  <c r="L65" i="3"/>
  <c r="C82" i="3"/>
  <c r="J55" i="3"/>
  <c r="K44" i="3" s="1"/>
  <c r="K115" i="3" s="1"/>
  <c r="D107" i="3"/>
  <c r="F33" i="2"/>
  <c r="F34" i="2" s="1"/>
  <c r="E20" i="2"/>
  <c r="D21" i="2"/>
  <c r="F20" i="2"/>
  <c r="E8" i="2"/>
  <c r="C86" i="3"/>
  <c r="C87" i="3"/>
  <c r="C55" i="3"/>
  <c r="D47" i="3" s="1"/>
  <c r="I3" i="1"/>
  <c r="C61" i="4" l="1"/>
  <c r="C31" i="7"/>
  <c r="C32" i="7"/>
  <c r="C23" i="7"/>
  <c r="D23" i="7" s="1"/>
  <c r="B169" i="3" s="1"/>
  <c r="C25" i="7"/>
  <c r="C29" i="7"/>
  <c r="C30" i="7"/>
  <c r="C27" i="7"/>
  <c r="C26" i="7"/>
  <c r="C28" i="7"/>
  <c r="C24" i="7"/>
  <c r="E2" i="5"/>
  <c r="E22" i="5" s="1"/>
  <c r="F91" i="2"/>
  <c r="F86" i="2" s="1"/>
  <c r="A39" i="1"/>
  <c r="E42" i="8"/>
  <c r="E14" i="8"/>
  <c r="E2" i="8"/>
  <c r="F37" i="8"/>
  <c r="F2" i="7"/>
  <c r="F2" i="9"/>
  <c r="F10" i="9"/>
  <c r="F27" i="5" s="1"/>
  <c r="F28" i="5" s="1"/>
  <c r="G68" i="2" s="1"/>
  <c r="J26" i="1" s="1"/>
  <c r="J28" i="1" s="1"/>
  <c r="G3" i="9"/>
  <c r="C161" i="3"/>
  <c r="C162" i="3"/>
  <c r="C165" i="3"/>
  <c r="E34" i="7" s="1"/>
  <c r="C163" i="3"/>
  <c r="C159" i="3"/>
  <c r="C164" i="3"/>
  <c r="C156" i="3"/>
  <c r="F32" i="2"/>
  <c r="G31" i="2" s="1"/>
  <c r="C157" i="3"/>
  <c r="C158" i="3"/>
  <c r="F154" i="3"/>
  <c r="G22" i="7"/>
  <c r="F48" i="2"/>
  <c r="F36" i="2" s="1"/>
  <c r="F2" i="2" s="1"/>
  <c r="F43" i="2"/>
  <c r="F23" i="8"/>
  <c r="H11" i="8"/>
  <c r="G10" i="8"/>
  <c r="L111" i="3"/>
  <c r="M106" i="3"/>
  <c r="E110" i="3"/>
  <c r="L99" i="3"/>
  <c r="E107" i="3"/>
  <c r="F107" i="3" s="1"/>
  <c r="L109" i="3"/>
  <c r="E109" i="3"/>
  <c r="E98" i="3"/>
  <c r="E97" i="3"/>
  <c r="F97" i="3" s="1"/>
  <c r="E106" i="3"/>
  <c r="E112" i="3"/>
  <c r="L112" i="3"/>
  <c r="E99" i="3"/>
  <c r="E108" i="3"/>
  <c r="L108" i="3"/>
  <c r="E111" i="3"/>
  <c r="E100" i="3"/>
  <c r="D118" i="3"/>
  <c r="L110" i="3"/>
  <c r="L100" i="3"/>
  <c r="K107" i="3"/>
  <c r="J120" i="3"/>
  <c r="C160" i="3" s="1"/>
  <c r="L98" i="3"/>
  <c r="F64" i="3"/>
  <c r="M63" i="3"/>
  <c r="M64" i="3"/>
  <c r="F63" i="3"/>
  <c r="D52" i="3"/>
  <c r="D90" i="3" s="1"/>
  <c r="D45" i="3"/>
  <c r="D83" i="3" s="1"/>
  <c r="K53" i="3"/>
  <c r="K91" i="3" s="1"/>
  <c r="K52" i="3"/>
  <c r="K90" i="3" s="1"/>
  <c r="K48" i="3"/>
  <c r="K50" i="3"/>
  <c r="K88" i="3" s="1"/>
  <c r="K49" i="3"/>
  <c r="K46" i="3"/>
  <c r="K84" i="3" s="1"/>
  <c r="K51" i="3"/>
  <c r="K89" i="3" s="1"/>
  <c r="K54" i="3"/>
  <c r="K92" i="3" s="1"/>
  <c r="K45" i="3"/>
  <c r="K83" i="3" s="1"/>
  <c r="K47" i="3"/>
  <c r="K118" i="3" s="1"/>
  <c r="D51" i="3"/>
  <c r="D89" i="3" s="1"/>
  <c r="D48" i="3"/>
  <c r="D119" i="3" s="1"/>
  <c r="D54" i="3"/>
  <c r="D92" i="3" s="1"/>
  <c r="D46" i="3"/>
  <c r="D84" i="3" s="1"/>
  <c r="D50" i="3"/>
  <c r="D88" i="3" s="1"/>
  <c r="D49" i="3"/>
  <c r="D120" i="3" s="1"/>
  <c r="D53" i="3"/>
  <c r="D91" i="3" s="1"/>
  <c r="C33" i="4"/>
  <c r="I33" i="4" s="1"/>
  <c r="J33" i="4" s="1"/>
  <c r="K33" i="4" s="1"/>
  <c r="G33" i="4"/>
  <c r="C88" i="4"/>
  <c r="E88" i="4" s="1"/>
  <c r="C116" i="4"/>
  <c r="E116" i="4" s="1"/>
  <c r="B116" i="4"/>
  <c r="B88" i="4"/>
  <c r="F4" i="2"/>
  <c r="B102" i="4"/>
  <c r="F46" i="4"/>
  <c r="H178" i="4"/>
  <c r="G178" i="4"/>
  <c r="F2" i="6"/>
  <c r="F14" i="7" s="1"/>
  <c r="F12" i="6"/>
  <c r="F37" i="3"/>
  <c r="F57" i="3" s="1"/>
  <c r="E58" i="3"/>
  <c r="A34" i="4"/>
  <c r="A47" i="4"/>
  <c r="A60" i="4"/>
  <c r="D19" i="4"/>
  <c r="B20" i="4" s="1"/>
  <c r="H7" i="2"/>
  <c r="E130" i="4"/>
  <c r="E17" i="2"/>
  <c r="D60" i="4"/>
  <c r="B61" i="4" s="1"/>
  <c r="I60" i="4"/>
  <c r="J60" i="4" s="1"/>
  <c r="K60" i="4" s="1"/>
  <c r="A33" i="4"/>
  <c r="A46" i="4"/>
  <c r="I74" i="4"/>
  <c r="J74" i="4" s="1"/>
  <c r="K74" i="4" s="1"/>
  <c r="D74" i="4"/>
  <c r="B75" i="4" s="1"/>
  <c r="G3" i="2"/>
  <c r="F16" i="2"/>
  <c r="I19" i="4"/>
  <c r="J19" i="4" s="1"/>
  <c r="K19" i="4" s="1"/>
  <c r="E178" i="4"/>
  <c r="D44" i="3"/>
  <c r="D82" i="3" s="1"/>
  <c r="D85" i="3"/>
  <c r="C155" i="3"/>
  <c r="B166" i="3"/>
  <c r="M97" i="3"/>
  <c r="M65" i="3"/>
  <c r="G33" i="2"/>
  <c r="G34" i="2" s="1"/>
  <c r="E21" i="2"/>
  <c r="F8" i="2"/>
  <c r="J3" i="1"/>
  <c r="A25" i="4" l="1"/>
  <c r="A24" i="4"/>
  <c r="F17" i="2"/>
  <c r="E28" i="7"/>
  <c r="D28" i="7"/>
  <c r="E27" i="7"/>
  <c r="D27" i="7"/>
  <c r="K49" i="1"/>
  <c r="H7" i="9"/>
  <c r="F2" i="5"/>
  <c r="F22" i="5" s="1"/>
  <c r="G91" i="2"/>
  <c r="A40" i="1"/>
  <c r="H6" i="9"/>
  <c r="G9" i="9"/>
  <c r="G9" i="6" s="1"/>
  <c r="F7" i="5" s="1"/>
  <c r="F42" i="8"/>
  <c r="G37" i="8"/>
  <c r="G2" i="7"/>
  <c r="G2" i="9"/>
  <c r="F14" i="8"/>
  <c r="F2" i="8"/>
  <c r="G10" i="9"/>
  <c r="G27" i="5" s="1"/>
  <c r="G28" i="5" s="1"/>
  <c r="H68" i="2" s="1"/>
  <c r="D121" i="3"/>
  <c r="G32" i="2"/>
  <c r="H31" i="2" s="1"/>
  <c r="G154" i="3"/>
  <c r="I22" i="7" s="1"/>
  <c r="H22" i="7"/>
  <c r="K122" i="3"/>
  <c r="D117" i="3"/>
  <c r="K117" i="3"/>
  <c r="D125" i="3"/>
  <c r="K124" i="3"/>
  <c r="K123" i="3"/>
  <c r="G43" i="2"/>
  <c r="G23" i="8"/>
  <c r="H9" i="8"/>
  <c r="H12" i="8"/>
  <c r="D122" i="3"/>
  <c r="F99" i="3"/>
  <c r="F109" i="3"/>
  <c r="M100" i="3"/>
  <c r="K125" i="3"/>
  <c r="M111" i="3"/>
  <c r="M112" i="3"/>
  <c r="M109" i="3"/>
  <c r="M110" i="3"/>
  <c r="F112" i="3"/>
  <c r="F108" i="3"/>
  <c r="G108" i="3" s="1"/>
  <c r="F106" i="3"/>
  <c r="D115" i="3"/>
  <c r="K116" i="3"/>
  <c r="K121" i="3"/>
  <c r="F110" i="3"/>
  <c r="N106" i="3"/>
  <c r="F100" i="3"/>
  <c r="D124" i="3"/>
  <c r="M99" i="3"/>
  <c r="K86" i="3"/>
  <c r="K119" i="3"/>
  <c r="F111" i="3"/>
  <c r="D123" i="3"/>
  <c r="M98" i="3"/>
  <c r="M108" i="3"/>
  <c r="D116" i="3"/>
  <c r="F98" i="3"/>
  <c r="L107" i="3"/>
  <c r="K120" i="3"/>
  <c r="G64" i="3"/>
  <c r="G63" i="3"/>
  <c r="N63" i="3"/>
  <c r="N64" i="3"/>
  <c r="K85" i="3"/>
  <c r="D158" i="3" s="1"/>
  <c r="B34" i="4"/>
  <c r="E33" i="4"/>
  <c r="C34" i="4" s="1"/>
  <c r="C158" i="4"/>
  <c r="E158" i="4" s="1"/>
  <c r="C89" i="4"/>
  <c r="G4" i="2"/>
  <c r="B130" i="4"/>
  <c r="C117" i="4"/>
  <c r="C179" i="4"/>
  <c r="C103" i="4"/>
  <c r="F74" i="4"/>
  <c r="F19" i="4"/>
  <c r="H20" i="4" s="1"/>
  <c r="F60" i="4"/>
  <c r="H47" i="4"/>
  <c r="G47" i="4"/>
  <c r="O46" i="4"/>
  <c r="G2" i="6"/>
  <c r="G14" i="7" s="1"/>
  <c r="K3" i="1"/>
  <c r="G48" i="2"/>
  <c r="G37" i="3"/>
  <c r="G57" i="3" s="1"/>
  <c r="F58" i="3"/>
  <c r="A48" i="4"/>
  <c r="A74" i="4"/>
  <c r="A61" i="4"/>
  <c r="A35" i="4"/>
  <c r="E47" i="4"/>
  <c r="D47" i="4"/>
  <c r="I47" i="4"/>
  <c r="J47" i="4" s="1"/>
  <c r="K47" i="4" s="1"/>
  <c r="D88" i="4"/>
  <c r="B89" i="4" s="1"/>
  <c r="I88" i="4"/>
  <c r="J88" i="4" s="1"/>
  <c r="K88" i="4" s="1"/>
  <c r="D102" i="4"/>
  <c r="B103" i="4" s="1"/>
  <c r="I102" i="4"/>
  <c r="J102" i="4" s="1"/>
  <c r="K102" i="4" s="1"/>
  <c r="A88" i="4"/>
  <c r="A36" i="4"/>
  <c r="A75" i="4"/>
  <c r="A49" i="4"/>
  <c r="A62" i="4"/>
  <c r="H3" i="2"/>
  <c r="G16" i="2"/>
  <c r="I116" i="4"/>
  <c r="J116" i="4" s="1"/>
  <c r="K116" i="4" s="1"/>
  <c r="D116" i="4"/>
  <c r="B117" i="4" s="1"/>
  <c r="I178" i="4"/>
  <c r="J178" i="4" s="1"/>
  <c r="D178" i="4"/>
  <c r="B179" i="4" s="1"/>
  <c r="E20" i="4"/>
  <c r="N97" i="3"/>
  <c r="K87" i="3"/>
  <c r="K82" i="3"/>
  <c r="N65" i="3"/>
  <c r="K55" i="3"/>
  <c r="L51" i="3" s="1"/>
  <c r="L89" i="3" s="1"/>
  <c r="D87" i="3"/>
  <c r="D86" i="3"/>
  <c r="H33" i="2"/>
  <c r="H34" i="2" s="1"/>
  <c r="G20" i="2"/>
  <c r="F21" i="2"/>
  <c r="G8" i="2"/>
  <c r="G97" i="3"/>
  <c r="G107" i="3"/>
  <c r="C166" i="3"/>
  <c r="D55" i="3"/>
  <c r="E46" i="3" s="1"/>
  <c r="E84" i="3" s="1"/>
  <c r="B144" i="4" l="1"/>
  <c r="D144" i="4" s="1"/>
  <c r="G2" i="5"/>
  <c r="G22" i="5" s="1"/>
  <c r="A41" i="1"/>
  <c r="H91" i="2"/>
  <c r="H86" i="2" s="1"/>
  <c r="G42" i="8"/>
  <c r="H3" i="9"/>
  <c r="H9" i="9" s="1"/>
  <c r="H9" i="6" s="1"/>
  <c r="H2" i="9"/>
  <c r="H2" i="7"/>
  <c r="H37" i="8"/>
  <c r="G14" i="8"/>
  <c r="G2" i="8"/>
  <c r="G12" i="6"/>
  <c r="K25" i="1"/>
  <c r="G11" i="9"/>
  <c r="D156" i="3"/>
  <c r="D161" i="3"/>
  <c r="D165" i="3"/>
  <c r="F34" i="7" s="1"/>
  <c r="D163" i="3"/>
  <c r="D162" i="3"/>
  <c r="D159" i="3"/>
  <c r="D164" i="3"/>
  <c r="D157" i="3"/>
  <c r="H32" i="2"/>
  <c r="H42" i="8" s="1"/>
  <c r="D160" i="3"/>
  <c r="H48" i="2"/>
  <c r="H36" i="2" s="1"/>
  <c r="H2" i="2" s="1"/>
  <c r="H43" i="2"/>
  <c r="H23" i="8"/>
  <c r="H10" i="8"/>
  <c r="G111" i="3"/>
  <c r="G112" i="3"/>
  <c r="N111" i="3"/>
  <c r="G98" i="3"/>
  <c r="G110" i="3"/>
  <c r="N100" i="3"/>
  <c r="N99" i="3"/>
  <c r="N110" i="3"/>
  <c r="G109" i="3"/>
  <c r="M107" i="3"/>
  <c r="N108" i="3"/>
  <c r="E117" i="3"/>
  <c r="G100" i="3"/>
  <c r="L122" i="3"/>
  <c r="G99" i="3"/>
  <c r="N98" i="3"/>
  <c r="N109" i="3"/>
  <c r="G106" i="3"/>
  <c r="N112" i="3"/>
  <c r="L46" i="3"/>
  <c r="L52" i="3"/>
  <c r="L53" i="3"/>
  <c r="L49" i="3"/>
  <c r="L120" i="3" s="1"/>
  <c r="L48" i="3"/>
  <c r="L119" i="3" s="1"/>
  <c r="L50" i="3"/>
  <c r="L54" i="3"/>
  <c r="L45" i="3"/>
  <c r="L47" i="3"/>
  <c r="L118" i="3" s="1"/>
  <c r="E51" i="3"/>
  <c r="E48" i="3"/>
  <c r="E119" i="3" s="1"/>
  <c r="E54" i="3"/>
  <c r="E50" i="3"/>
  <c r="E53" i="3"/>
  <c r="E52" i="3"/>
  <c r="E45" i="3"/>
  <c r="E47" i="3"/>
  <c r="E118" i="3" s="1"/>
  <c r="E49" i="3"/>
  <c r="E120" i="3" s="1"/>
  <c r="G17" i="2"/>
  <c r="F33" i="4"/>
  <c r="H34" i="4" s="1"/>
  <c r="C144" i="4"/>
  <c r="E144" i="4" s="1"/>
  <c r="C21" i="4"/>
  <c r="B48" i="4"/>
  <c r="H4" i="2"/>
  <c r="B158" i="4"/>
  <c r="C48" i="4"/>
  <c r="C131" i="4"/>
  <c r="G20" i="4"/>
  <c r="F116" i="4"/>
  <c r="F88" i="4"/>
  <c r="E34" i="4"/>
  <c r="H61" i="4"/>
  <c r="G61" i="4"/>
  <c r="N46" i="4"/>
  <c r="F178" i="4"/>
  <c r="H179" i="4" s="1"/>
  <c r="F102" i="4"/>
  <c r="H75" i="4"/>
  <c r="G75" i="4"/>
  <c r="I20" i="4"/>
  <c r="J20" i="4" s="1"/>
  <c r="K20" i="4" s="1"/>
  <c r="H2" i="6"/>
  <c r="H14" i="7" s="1"/>
  <c r="D20" i="4"/>
  <c r="G58" i="3"/>
  <c r="A102" i="4"/>
  <c r="A89" i="4"/>
  <c r="A63" i="4"/>
  <c r="A76" i="4"/>
  <c r="A37" i="4"/>
  <c r="A50" i="4"/>
  <c r="I75" i="4"/>
  <c r="J75" i="4" s="1"/>
  <c r="K75" i="4" s="1"/>
  <c r="D75" i="4"/>
  <c r="F47" i="4"/>
  <c r="E75" i="4"/>
  <c r="A103" i="4"/>
  <c r="A90" i="4"/>
  <c r="A64" i="4"/>
  <c r="A77" i="4"/>
  <c r="A51" i="4"/>
  <c r="A116" i="4"/>
  <c r="A38" i="4"/>
  <c r="D130" i="4"/>
  <c r="B131" i="4" s="1"/>
  <c r="I130" i="4"/>
  <c r="J130" i="4" s="1"/>
  <c r="K130" i="4" s="1"/>
  <c r="H16" i="2"/>
  <c r="I61" i="4"/>
  <c r="J61" i="4" s="1"/>
  <c r="K61" i="4" s="1"/>
  <c r="D61" i="4"/>
  <c r="E61" i="4"/>
  <c r="E89" i="4"/>
  <c r="D34" i="4"/>
  <c r="I34" i="4"/>
  <c r="J34" i="4" s="1"/>
  <c r="K34" i="4" s="1"/>
  <c r="L44" i="3"/>
  <c r="L115" i="3" s="1"/>
  <c r="E44" i="3"/>
  <c r="E115" i="3" s="1"/>
  <c r="D155" i="3"/>
  <c r="G21" i="2"/>
  <c r="H20" i="2"/>
  <c r="H8" i="2"/>
  <c r="C172" i="4" s="1"/>
  <c r="A28" i="4" l="1"/>
  <c r="A93" i="4" s="1"/>
  <c r="A29" i="4"/>
  <c r="A146" i="4" s="1"/>
  <c r="C145" i="4"/>
  <c r="B172" i="4"/>
  <c r="D172" i="4" s="1"/>
  <c r="K26" i="1"/>
  <c r="K28" i="1" s="1"/>
  <c r="F27" i="7"/>
  <c r="F28" i="7"/>
  <c r="H12" i="6"/>
  <c r="G7" i="5"/>
  <c r="H10" i="9"/>
  <c r="H11" i="9"/>
  <c r="H14" i="8"/>
  <c r="H2" i="8"/>
  <c r="C76" i="4"/>
  <c r="C35" i="4"/>
  <c r="E35" i="4" s="1"/>
  <c r="E91" i="3"/>
  <c r="E124" i="3"/>
  <c r="L84" i="3"/>
  <c r="L117" i="3"/>
  <c r="L91" i="3"/>
  <c r="L124" i="3"/>
  <c r="E88" i="3"/>
  <c r="E121" i="3"/>
  <c r="E89" i="3"/>
  <c r="E122" i="3"/>
  <c r="L83" i="3"/>
  <c r="L116" i="3"/>
  <c r="L92" i="3"/>
  <c r="L125" i="3"/>
  <c r="L88" i="3"/>
  <c r="L121" i="3"/>
  <c r="L90" i="3"/>
  <c r="L123" i="3"/>
  <c r="E92" i="3"/>
  <c r="E125" i="3"/>
  <c r="N107" i="3"/>
  <c r="E83" i="3"/>
  <c r="E116" i="3"/>
  <c r="E90" i="3"/>
  <c r="E123" i="3"/>
  <c r="I144" i="4"/>
  <c r="J144" i="4" s="1"/>
  <c r="K144" i="4" s="1"/>
  <c r="B62" i="4"/>
  <c r="B145" i="4"/>
  <c r="G34" i="4"/>
  <c r="B35" i="4" s="1"/>
  <c r="H17" i="2"/>
  <c r="C62" i="4"/>
  <c r="C159" i="4"/>
  <c r="B76" i="4"/>
  <c r="B21" i="4"/>
  <c r="F20" i="4"/>
  <c r="H21" i="4" s="1"/>
  <c r="H117" i="4"/>
  <c r="G117" i="4"/>
  <c r="F130" i="4"/>
  <c r="F34" i="4"/>
  <c r="H35" i="4" s="1"/>
  <c r="F144" i="4"/>
  <c r="H103" i="4"/>
  <c r="G103" i="4"/>
  <c r="H89" i="4"/>
  <c r="C90" i="4" s="1"/>
  <c r="G89" i="4"/>
  <c r="G179" i="4"/>
  <c r="G48" i="4"/>
  <c r="H48" i="4"/>
  <c r="D89" i="4"/>
  <c r="I89" i="4"/>
  <c r="J89" i="4" s="1"/>
  <c r="K89" i="4" s="1"/>
  <c r="I158" i="4"/>
  <c r="J158" i="4" s="1"/>
  <c r="K158" i="4" s="1"/>
  <c r="D158" i="4"/>
  <c r="B159" i="4" s="1"/>
  <c r="F75" i="4"/>
  <c r="D103" i="4"/>
  <c r="I103" i="4"/>
  <c r="J103" i="4" s="1"/>
  <c r="K103" i="4" s="1"/>
  <c r="H21" i="2"/>
  <c r="A79" i="4"/>
  <c r="A118" i="4"/>
  <c r="A53" i="4"/>
  <c r="A66" i="4"/>
  <c r="A40" i="4"/>
  <c r="A92" i="4"/>
  <c r="A131" i="4"/>
  <c r="A105" i="4"/>
  <c r="A144" i="4"/>
  <c r="D117" i="4"/>
  <c r="I117" i="4"/>
  <c r="J117" i="4" s="1"/>
  <c r="K117" i="4" s="1"/>
  <c r="E117" i="4"/>
  <c r="A91" i="4"/>
  <c r="A39" i="4"/>
  <c r="A78" i="4"/>
  <c r="A117" i="4"/>
  <c r="A52" i="4"/>
  <c r="A130" i="4"/>
  <c r="A104" i="4"/>
  <c r="A65" i="4"/>
  <c r="F61" i="4"/>
  <c r="E103" i="4"/>
  <c r="I179" i="4"/>
  <c r="J179" i="4" s="1"/>
  <c r="D179" i="4"/>
  <c r="E179" i="4"/>
  <c r="C180" i="4" s="1"/>
  <c r="O60" i="4"/>
  <c r="L82" i="3"/>
  <c r="L87" i="3"/>
  <c r="L85" i="3"/>
  <c r="L86" i="3"/>
  <c r="E85" i="3"/>
  <c r="E82" i="3"/>
  <c r="L55" i="3"/>
  <c r="M51" i="3" s="1"/>
  <c r="D166" i="3"/>
  <c r="E87" i="3"/>
  <c r="E86" i="3"/>
  <c r="E55" i="3"/>
  <c r="F46" i="3" s="1"/>
  <c r="E165" i="3" l="1"/>
  <c r="G34" i="7" s="1"/>
  <c r="E159" i="3"/>
  <c r="E160" i="3"/>
  <c r="E157" i="3"/>
  <c r="E158" i="3"/>
  <c r="E162" i="3"/>
  <c r="E161" i="3"/>
  <c r="E163" i="3"/>
  <c r="E156" i="3"/>
  <c r="E164" i="3"/>
  <c r="F84" i="3"/>
  <c r="F117" i="3"/>
  <c r="M89" i="3"/>
  <c r="M122" i="3"/>
  <c r="F48" i="3"/>
  <c r="F119" i="3" s="1"/>
  <c r="F51" i="3"/>
  <c r="F52" i="3"/>
  <c r="F49" i="3"/>
  <c r="F120" i="3" s="1"/>
  <c r="F54" i="3"/>
  <c r="F125" i="3" s="1"/>
  <c r="F53" i="3"/>
  <c r="F45" i="3"/>
  <c r="M45" i="3"/>
  <c r="M52" i="3"/>
  <c r="M53" i="3"/>
  <c r="M50" i="3"/>
  <c r="M46" i="3"/>
  <c r="M54" i="3"/>
  <c r="M49" i="3"/>
  <c r="M120" i="3" s="1"/>
  <c r="M48" i="3"/>
  <c r="M119" i="3" s="1"/>
  <c r="M47" i="3"/>
  <c r="F47" i="3"/>
  <c r="F50" i="3"/>
  <c r="B118" i="4"/>
  <c r="B90" i="4"/>
  <c r="C118" i="4"/>
  <c r="B104" i="4"/>
  <c r="C104" i="4"/>
  <c r="C36" i="4"/>
  <c r="B180" i="4"/>
  <c r="F89" i="4"/>
  <c r="H90" i="4" s="1"/>
  <c r="G21" i="4"/>
  <c r="G35" i="4"/>
  <c r="F158" i="4"/>
  <c r="H131" i="4"/>
  <c r="G131" i="4"/>
  <c r="N60" i="4"/>
  <c r="H145" i="4"/>
  <c r="G145" i="4"/>
  <c r="H76" i="4"/>
  <c r="G76" i="4"/>
  <c r="H62" i="4"/>
  <c r="G62" i="4"/>
  <c r="A68" i="4"/>
  <c r="A119" i="4"/>
  <c r="A106" i="4"/>
  <c r="A132" i="4"/>
  <c r="A67" i="4"/>
  <c r="A172" i="4"/>
  <c r="A107" i="4"/>
  <c r="A94" i="4"/>
  <c r="A55" i="4"/>
  <c r="A120" i="4"/>
  <c r="A133" i="4"/>
  <c r="A42" i="4"/>
  <c r="A159" i="4"/>
  <c r="A81" i="4"/>
  <c r="A158" i="4"/>
  <c r="A41" i="4"/>
  <c r="A80" i="4"/>
  <c r="A54" i="4"/>
  <c r="A145" i="4"/>
  <c r="E131" i="4"/>
  <c r="D131" i="4"/>
  <c r="I131" i="4"/>
  <c r="J131" i="4" s="1"/>
  <c r="K131" i="4" s="1"/>
  <c r="E172" i="4"/>
  <c r="F117" i="4"/>
  <c r="F103" i="4"/>
  <c r="I172" i="4"/>
  <c r="J172" i="4" s="1"/>
  <c r="K172" i="4" s="1"/>
  <c r="E76" i="4"/>
  <c r="E48" i="4"/>
  <c r="C49" i="4" s="1"/>
  <c r="I145" i="4"/>
  <c r="J145" i="4" s="1"/>
  <c r="K145" i="4" s="1"/>
  <c r="D145" i="4"/>
  <c r="I48" i="4"/>
  <c r="J48" i="4" s="1"/>
  <c r="K48" i="4" s="1"/>
  <c r="D48" i="4"/>
  <c r="B49" i="4" s="1"/>
  <c r="E145" i="4"/>
  <c r="F179" i="4"/>
  <c r="E21" i="4"/>
  <c r="C22" i="4" s="1"/>
  <c r="D35" i="4"/>
  <c r="I35" i="4"/>
  <c r="J35" i="4" s="1"/>
  <c r="K35" i="4" s="1"/>
  <c r="I21" i="4"/>
  <c r="J21" i="4" s="1"/>
  <c r="K21" i="4" s="1"/>
  <c r="D21" i="4"/>
  <c r="B22" i="4" s="1"/>
  <c r="F44" i="3"/>
  <c r="F115" i="3" s="1"/>
  <c r="M44" i="3"/>
  <c r="M115" i="3" s="1"/>
  <c r="E155" i="3"/>
  <c r="G28" i="7" l="1"/>
  <c r="G27" i="7"/>
  <c r="B146" i="4"/>
  <c r="B36" i="4"/>
  <c r="F88" i="3"/>
  <c r="F121" i="3"/>
  <c r="F85" i="3"/>
  <c r="F118" i="3"/>
  <c r="F91" i="3"/>
  <c r="F124" i="3"/>
  <c r="F90" i="3"/>
  <c r="F123" i="3"/>
  <c r="M88" i="3"/>
  <c r="M121" i="3"/>
  <c r="F83" i="3"/>
  <c r="F116" i="3"/>
  <c r="M85" i="3"/>
  <c r="M118" i="3"/>
  <c r="M92" i="3"/>
  <c r="M125" i="3"/>
  <c r="M84" i="3"/>
  <c r="M117" i="3"/>
  <c r="M91" i="3"/>
  <c r="M124" i="3"/>
  <c r="F89" i="3"/>
  <c r="F122" i="3"/>
  <c r="M90" i="3"/>
  <c r="M123" i="3"/>
  <c r="M83" i="3"/>
  <c r="M116" i="3"/>
  <c r="F92" i="3"/>
  <c r="C77" i="4"/>
  <c r="C146" i="4"/>
  <c r="B132" i="4"/>
  <c r="C132" i="4"/>
  <c r="G90" i="4"/>
  <c r="F35" i="4"/>
  <c r="H36" i="4" s="1"/>
  <c r="G159" i="4"/>
  <c r="H159" i="4"/>
  <c r="H118" i="4"/>
  <c r="G118" i="4"/>
  <c r="H104" i="4"/>
  <c r="G104" i="4"/>
  <c r="H180" i="4"/>
  <c r="G180" i="4"/>
  <c r="F131" i="4"/>
  <c r="D159" i="4"/>
  <c r="I159" i="4"/>
  <c r="J159" i="4" s="1"/>
  <c r="K159" i="4" s="1"/>
  <c r="I76" i="4"/>
  <c r="J76" i="4" s="1"/>
  <c r="K76" i="4" s="1"/>
  <c r="D76" i="4"/>
  <c r="B77" i="4" s="1"/>
  <c r="F48" i="4"/>
  <c r="I90" i="4"/>
  <c r="J90" i="4" s="1"/>
  <c r="K90" i="4" s="1"/>
  <c r="D90" i="4"/>
  <c r="E159" i="4"/>
  <c r="E90" i="4"/>
  <c r="C91" i="4" s="1"/>
  <c r="F172" i="4"/>
  <c r="F145" i="4"/>
  <c r="I62" i="4"/>
  <c r="J62" i="4" s="1"/>
  <c r="K62" i="4" s="1"/>
  <c r="D62" i="4"/>
  <c r="B63" i="4" s="1"/>
  <c r="E62" i="4"/>
  <c r="C63" i="4" s="1"/>
  <c r="F21" i="4"/>
  <c r="M87" i="3"/>
  <c r="M86" i="3"/>
  <c r="M82" i="3"/>
  <c r="F82" i="3"/>
  <c r="M55" i="3"/>
  <c r="N49" i="3" s="1"/>
  <c r="N120" i="3" s="1"/>
  <c r="F87" i="3"/>
  <c r="E166" i="3"/>
  <c r="F86" i="3"/>
  <c r="F55" i="3"/>
  <c r="G47" i="3" s="1"/>
  <c r="F157" i="3" l="1"/>
  <c r="F165" i="3"/>
  <c r="H34" i="7" s="1"/>
  <c r="F161" i="3"/>
  <c r="F159" i="3"/>
  <c r="F160" i="3"/>
  <c r="F156" i="3"/>
  <c r="F162" i="3"/>
  <c r="F164" i="3"/>
  <c r="F158" i="3"/>
  <c r="F163" i="3"/>
  <c r="B160" i="4"/>
  <c r="G85" i="3"/>
  <c r="G118" i="3"/>
  <c r="N54" i="3"/>
  <c r="N47" i="3"/>
  <c r="N118" i="3" s="1"/>
  <c r="N46" i="3"/>
  <c r="N45" i="3"/>
  <c r="N53" i="3"/>
  <c r="N51" i="3"/>
  <c r="N52" i="3"/>
  <c r="N50" i="3"/>
  <c r="N48" i="3"/>
  <c r="N119" i="3" s="1"/>
  <c r="G53" i="3"/>
  <c r="G49" i="3"/>
  <c r="G120" i="3" s="1"/>
  <c r="G45" i="3"/>
  <c r="G51" i="3"/>
  <c r="G46" i="3"/>
  <c r="G48" i="3"/>
  <c r="G119" i="3" s="1"/>
  <c r="G54" i="3"/>
  <c r="G125" i="3" s="1"/>
  <c r="G52" i="3"/>
  <c r="G50" i="3"/>
  <c r="B91" i="4"/>
  <c r="C160" i="4"/>
  <c r="G36" i="4"/>
  <c r="F76" i="4"/>
  <c r="G77" i="4" s="1"/>
  <c r="H172" i="4"/>
  <c r="G172" i="4"/>
  <c r="G132" i="4"/>
  <c r="H132" i="4"/>
  <c r="G146" i="4"/>
  <c r="H146" i="4"/>
  <c r="H22" i="4"/>
  <c r="G22" i="4"/>
  <c r="H49" i="4"/>
  <c r="G49" i="4"/>
  <c r="I132" i="4"/>
  <c r="J132" i="4" s="1"/>
  <c r="K132" i="4" s="1"/>
  <c r="F90" i="4"/>
  <c r="F62" i="4"/>
  <c r="D104" i="4"/>
  <c r="B105" i="4" s="1"/>
  <c r="I104" i="4"/>
  <c r="J104" i="4" s="1"/>
  <c r="K104" i="4" s="1"/>
  <c r="E118" i="4"/>
  <c r="C119" i="4" s="1"/>
  <c r="D132" i="4"/>
  <c r="E104" i="4"/>
  <c r="C105" i="4" s="1"/>
  <c r="D118" i="4"/>
  <c r="B119" i="4" s="1"/>
  <c r="I118" i="4"/>
  <c r="J118" i="4" s="1"/>
  <c r="K118" i="4" s="1"/>
  <c r="F159" i="4"/>
  <c r="I180" i="4"/>
  <c r="J180" i="4" s="1"/>
  <c r="D180" i="4"/>
  <c r="B181" i="4" s="1"/>
  <c r="E180" i="4"/>
  <c r="C181" i="4" s="1"/>
  <c r="N74" i="4"/>
  <c r="D36" i="4"/>
  <c r="I36" i="4"/>
  <c r="J36" i="4" s="1"/>
  <c r="K36" i="4" s="1"/>
  <c r="E36" i="4"/>
  <c r="C37" i="4" s="1"/>
  <c r="O74" i="4"/>
  <c r="N44" i="3"/>
  <c r="N115" i="3" s="1"/>
  <c r="G44" i="3"/>
  <c r="F155" i="3"/>
  <c r="H28" i="7" l="1"/>
  <c r="H27" i="7"/>
  <c r="B133" i="4"/>
  <c r="G82" i="3"/>
  <c r="G115" i="3"/>
  <c r="G90" i="3"/>
  <c r="G123" i="3"/>
  <c r="G88" i="3"/>
  <c r="G121" i="3"/>
  <c r="N89" i="3"/>
  <c r="N122" i="3"/>
  <c r="N91" i="3"/>
  <c r="N124" i="3"/>
  <c r="N84" i="3"/>
  <c r="N117" i="3"/>
  <c r="N92" i="3"/>
  <c r="N125" i="3"/>
  <c r="N90" i="3"/>
  <c r="N123" i="3"/>
  <c r="N83" i="3"/>
  <c r="N116" i="3"/>
  <c r="G89" i="3"/>
  <c r="G122" i="3"/>
  <c r="G83" i="3"/>
  <c r="G116" i="3"/>
  <c r="G91" i="3"/>
  <c r="G124" i="3"/>
  <c r="N88" i="3"/>
  <c r="N121" i="3"/>
  <c r="G84" i="3"/>
  <c r="G117" i="3"/>
  <c r="G92" i="3"/>
  <c r="B37" i="4"/>
  <c r="H77" i="4"/>
  <c r="H91" i="4"/>
  <c r="G91" i="4"/>
  <c r="E63" i="4"/>
  <c r="G63" i="4"/>
  <c r="H63" i="4"/>
  <c r="H160" i="4"/>
  <c r="G160" i="4"/>
  <c r="E132" i="4"/>
  <c r="C133" i="4" s="1"/>
  <c r="D91" i="4"/>
  <c r="F104" i="4"/>
  <c r="D49" i="4"/>
  <c r="B50" i="4" s="1"/>
  <c r="I49" i="4"/>
  <c r="J49" i="4" s="1"/>
  <c r="K49" i="4" s="1"/>
  <c r="I146" i="4"/>
  <c r="J146" i="4" s="1"/>
  <c r="K146" i="4" s="1"/>
  <c r="D146" i="4"/>
  <c r="B147" i="4" s="1"/>
  <c r="E49" i="4"/>
  <c r="C50" i="4" s="1"/>
  <c r="E146" i="4"/>
  <c r="C147" i="4" s="1"/>
  <c r="E91" i="4"/>
  <c r="F118" i="4"/>
  <c r="E160" i="4"/>
  <c r="I77" i="4"/>
  <c r="J77" i="4" s="1"/>
  <c r="K77" i="4" s="1"/>
  <c r="D77" i="4"/>
  <c r="B78" i="4" s="1"/>
  <c r="E77" i="4"/>
  <c r="F180" i="4"/>
  <c r="F36" i="4"/>
  <c r="D22" i="4"/>
  <c r="B23" i="4" s="1"/>
  <c r="I22" i="4"/>
  <c r="J22" i="4" s="1"/>
  <c r="K22" i="4" s="1"/>
  <c r="E22" i="4"/>
  <c r="C23" i="4" s="1"/>
  <c r="N82" i="3"/>
  <c r="N87" i="3"/>
  <c r="N85" i="3"/>
  <c r="G158" i="3" s="1"/>
  <c r="N86" i="3"/>
  <c r="N55" i="3"/>
  <c r="G87" i="3"/>
  <c r="G86" i="3"/>
  <c r="F166" i="3"/>
  <c r="G55" i="3"/>
  <c r="G165" i="3" l="1"/>
  <c r="I34" i="7" s="1"/>
  <c r="I28" i="7" s="1"/>
  <c r="G159" i="3"/>
  <c r="G163" i="3"/>
  <c r="G160" i="3"/>
  <c r="G156" i="3"/>
  <c r="C161" i="4"/>
  <c r="G162" i="3"/>
  <c r="G164" i="3"/>
  <c r="G157" i="3"/>
  <c r="G161" i="3"/>
  <c r="C78" i="4"/>
  <c r="C92" i="4"/>
  <c r="B92" i="4"/>
  <c r="C64" i="4"/>
  <c r="F132" i="4"/>
  <c r="H133" i="4" s="1"/>
  <c r="H119" i="4"/>
  <c r="G119" i="4"/>
  <c r="H37" i="4"/>
  <c r="G37" i="4"/>
  <c r="H181" i="4"/>
  <c r="G181" i="4"/>
  <c r="E105" i="4"/>
  <c r="H105" i="4"/>
  <c r="G105" i="4"/>
  <c r="I63" i="4"/>
  <c r="J63" i="4" s="1"/>
  <c r="K63" i="4" s="1"/>
  <c r="D105" i="4"/>
  <c r="I91" i="4"/>
  <c r="J91" i="4" s="1"/>
  <c r="K91" i="4" s="1"/>
  <c r="D63" i="4"/>
  <c r="B64" i="4" s="1"/>
  <c r="I160" i="4"/>
  <c r="J160" i="4" s="1"/>
  <c r="K160" i="4" s="1"/>
  <c r="D160" i="4"/>
  <c r="B161" i="4" s="1"/>
  <c r="D133" i="4"/>
  <c r="I133" i="4"/>
  <c r="J133" i="4" s="1"/>
  <c r="K133" i="4" s="1"/>
  <c r="F146" i="4"/>
  <c r="F91" i="4"/>
  <c r="F77" i="4"/>
  <c r="F49" i="4"/>
  <c r="F22" i="4"/>
  <c r="G155" i="3"/>
  <c r="G133" i="4" l="1"/>
  <c r="B134" i="4" s="1"/>
  <c r="B106" i="4"/>
  <c r="C106" i="4"/>
  <c r="F160" i="4"/>
  <c r="H161" i="4" s="1"/>
  <c r="F63" i="4"/>
  <c r="H64" i="4" s="1"/>
  <c r="I64" i="4"/>
  <c r="J64" i="4" s="1"/>
  <c r="K64" i="4" s="1"/>
  <c r="E133" i="4"/>
  <c r="C134" i="4" s="1"/>
  <c r="H23" i="4"/>
  <c r="G23" i="4"/>
  <c r="H92" i="4"/>
  <c r="G92" i="4"/>
  <c r="H147" i="4"/>
  <c r="G147" i="4"/>
  <c r="H50" i="4"/>
  <c r="G50" i="4"/>
  <c r="H78" i="4"/>
  <c r="G78" i="4"/>
  <c r="E64" i="4"/>
  <c r="I105" i="4"/>
  <c r="J105" i="4" s="1"/>
  <c r="K105" i="4" s="1"/>
  <c r="D64" i="4"/>
  <c r="D119" i="4"/>
  <c r="B120" i="4" s="1"/>
  <c r="I119" i="4"/>
  <c r="J119" i="4" s="1"/>
  <c r="K119" i="4" s="1"/>
  <c r="E147" i="4"/>
  <c r="E119" i="4"/>
  <c r="C120" i="4" s="1"/>
  <c r="E161" i="4"/>
  <c r="E50" i="4"/>
  <c r="F105" i="4"/>
  <c r="I181" i="4"/>
  <c r="J181" i="4" s="1"/>
  <c r="D181" i="4"/>
  <c r="B182" i="4" s="1"/>
  <c r="E181" i="4"/>
  <c r="C182" i="4" s="1"/>
  <c r="D37" i="4"/>
  <c r="B38" i="4" s="1"/>
  <c r="I37" i="4"/>
  <c r="O88" i="4"/>
  <c r="N88" i="4"/>
  <c r="G166" i="3"/>
  <c r="C148" i="4" l="1"/>
  <c r="C65" i="4"/>
  <c r="C162" i="4"/>
  <c r="C51" i="4"/>
  <c r="G161" i="4"/>
  <c r="E134" i="4"/>
  <c r="F133" i="4"/>
  <c r="G64" i="4"/>
  <c r="B65" i="4" s="1"/>
  <c r="H106" i="4"/>
  <c r="G106" i="4"/>
  <c r="F64" i="4"/>
  <c r="F119" i="4"/>
  <c r="D161" i="4"/>
  <c r="I161" i="4"/>
  <c r="J161" i="4" s="1"/>
  <c r="K161" i="4" s="1"/>
  <c r="D134" i="4"/>
  <c r="I134" i="4"/>
  <c r="J134" i="4" s="1"/>
  <c r="K134" i="4" s="1"/>
  <c r="I147" i="4"/>
  <c r="J147" i="4" s="1"/>
  <c r="K147" i="4" s="1"/>
  <c r="D147" i="4"/>
  <c r="B148" i="4" s="1"/>
  <c r="E78" i="4"/>
  <c r="C79" i="4" s="1"/>
  <c r="I78" i="4"/>
  <c r="J78" i="4" s="1"/>
  <c r="K78" i="4" s="1"/>
  <c r="D78" i="4"/>
  <c r="B79" i="4" s="1"/>
  <c r="D50" i="4"/>
  <c r="B51" i="4" s="1"/>
  <c r="I50" i="4"/>
  <c r="J50" i="4" s="1"/>
  <c r="K50" i="4" s="1"/>
  <c r="D92" i="4"/>
  <c r="B93" i="4" s="1"/>
  <c r="I92" i="4"/>
  <c r="J92" i="4" s="1"/>
  <c r="K92" i="4" s="1"/>
  <c r="E92" i="4"/>
  <c r="C93" i="4" s="1"/>
  <c r="F181" i="4"/>
  <c r="J37" i="4"/>
  <c r="K37" i="4" s="1"/>
  <c r="E37" i="4"/>
  <c r="C38" i="4" s="1"/>
  <c r="D23" i="4"/>
  <c r="B24" i="4" s="1"/>
  <c r="I23" i="4"/>
  <c r="J23" i="4" s="1"/>
  <c r="K23" i="4" s="1"/>
  <c r="E23" i="4"/>
  <c r="C24" i="4" s="1"/>
  <c r="B162" i="4" l="1"/>
  <c r="F161" i="4"/>
  <c r="H162" i="4" s="1"/>
  <c r="F50" i="4"/>
  <c r="H51" i="4" s="1"/>
  <c r="F37" i="4"/>
  <c r="G38" i="4" s="1"/>
  <c r="G134" i="4"/>
  <c r="B135" i="4" s="1"/>
  <c r="H134" i="4"/>
  <c r="C135" i="4" s="1"/>
  <c r="F147" i="4"/>
  <c r="H148" i="4" s="1"/>
  <c r="F134" i="4"/>
  <c r="H135" i="4" s="1"/>
  <c r="H182" i="4"/>
  <c r="G182" i="4"/>
  <c r="D120" i="4"/>
  <c r="H120" i="4"/>
  <c r="G120" i="4"/>
  <c r="E65" i="4"/>
  <c r="H65" i="4"/>
  <c r="G65" i="4"/>
  <c r="I120" i="4"/>
  <c r="J120" i="4" s="1"/>
  <c r="K120" i="4" s="1"/>
  <c r="F78" i="4"/>
  <c r="E106" i="4"/>
  <c r="C107" i="4" s="1"/>
  <c r="D106" i="4"/>
  <c r="B107" i="4" s="1"/>
  <c r="I106" i="4"/>
  <c r="J106" i="4" s="1"/>
  <c r="K106" i="4" s="1"/>
  <c r="E162" i="4"/>
  <c r="E148" i="4"/>
  <c r="F92" i="4"/>
  <c r="E38" i="4"/>
  <c r="F23" i="4"/>
  <c r="G162" i="4" l="1"/>
  <c r="B121" i="4"/>
  <c r="C163" i="4"/>
  <c r="C149" i="4"/>
  <c r="C66" i="4"/>
  <c r="G51" i="4"/>
  <c r="G135" i="4"/>
  <c r="E135" i="4"/>
  <c r="C136" i="4" s="1"/>
  <c r="H38" i="4"/>
  <c r="C39" i="4" s="1"/>
  <c r="G148" i="4"/>
  <c r="H79" i="4"/>
  <c r="G79" i="4"/>
  <c r="H93" i="4"/>
  <c r="G93" i="4"/>
  <c r="I65" i="4"/>
  <c r="J65" i="4" s="1"/>
  <c r="K65" i="4" s="1"/>
  <c r="H24" i="4"/>
  <c r="G24" i="4"/>
  <c r="F106" i="4"/>
  <c r="E120" i="4"/>
  <c r="C121" i="4" s="1"/>
  <c r="I79" i="4"/>
  <c r="J79" i="4" s="1"/>
  <c r="K79" i="4" s="1"/>
  <c r="D65" i="4"/>
  <c r="B66" i="4" s="1"/>
  <c r="D79" i="4"/>
  <c r="I135" i="4"/>
  <c r="J135" i="4" s="1"/>
  <c r="K135" i="4" s="1"/>
  <c r="D135" i="4"/>
  <c r="I51" i="4"/>
  <c r="J51" i="4" s="1"/>
  <c r="K51" i="4" s="1"/>
  <c r="D51" i="4"/>
  <c r="I148" i="4"/>
  <c r="J148" i="4" s="1"/>
  <c r="K148" i="4" s="1"/>
  <c r="D148" i="4"/>
  <c r="E51" i="4"/>
  <c r="C52" i="4" s="1"/>
  <c r="D162" i="4"/>
  <c r="F162" i="4" s="1"/>
  <c r="I162" i="4"/>
  <c r="J162" i="4" s="1"/>
  <c r="K162" i="4" s="1"/>
  <c r="D182" i="4"/>
  <c r="B183" i="4" s="1"/>
  <c r="I182" i="4"/>
  <c r="J182" i="4" s="1"/>
  <c r="E182" i="4"/>
  <c r="C183" i="4" s="1"/>
  <c r="D38" i="4"/>
  <c r="B39" i="4" s="1"/>
  <c r="I38" i="4"/>
  <c r="J38" i="4" s="1"/>
  <c r="K38" i="4" s="1"/>
  <c r="B136" i="4" l="1"/>
  <c r="B52" i="4"/>
  <c r="B163" i="4"/>
  <c r="B149" i="4"/>
  <c r="B80" i="4"/>
  <c r="F135" i="4"/>
  <c r="H136" i="4" s="1"/>
  <c r="F148" i="4"/>
  <c r="G149" i="4" s="1"/>
  <c r="F120" i="4"/>
  <c r="H121" i="4" s="1"/>
  <c r="F65" i="4"/>
  <c r="H66" i="4" s="1"/>
  <c r="H107" i="4"/>
  <c r="G107" i="4"/>
  <c r="H163" i="4"/>
  <c r="G163" i="4"/>
  <c r="F51" i="4"/>
  <c r="D121" i="4"/>
  <c r="E121" i="4"/>
  <c r="E79" i="4"/>
  <c r="C80" i="4" s="1"/>
  <c r="E66" i="4"/>
  <c r="D107" i="4"/>
  <c r="I107" i="4"/>
  <c r="J107" i="4" s="1"/>
  <c r="K107" i="4" s="1"/>
  <c r="E136" i="4"/>
  <c r="E163" i="4"/>
  <c r="I93" i="4"/>
  <c r="J93" i="4" s="1"/>
  <c r="K93" i="4" s="1"/>
  <c r="D93" i="4"/>
  <c r="B94" i="4" s="1"/>
  <c r="E93" i="4"/>
  <c r="C94" i="4" s="1"/>
  <c r="E149" i="4"/>
  <c r="D66" i="4"/>
  <c r="I66" i="4"/>
  <c r="J66" i="4" s="1"/>
  <c r="K66" i="4" s="1"/>
  <c r="E107" i="4"/>
  <c r="F182" i="4"/>
  <c r="F38" i="4"/>
  <c r="I24" i="4"/>
  <c r="J24" i="4" s="1"/>
  <c r="K24" i="4" s="1"/>
  <c r="D24" i="4"/>
  <c r="B25" i="4" s="1"/>
  <c r="E24" i="4"/>
  <c r="C25" i="4" s="1"/>
  <c r="C137" i="4" l="1"/>
  <c r="G121" i="4"/>
  <c r="B122" i="4" s="1"/>
  <c r="C164" i="4"/>
  <c r="C67" i="4"/>
  <c r="C122" i="4"/>
  <c r="B108" i="4"/>
  <c r="C108" i="4"/>
  <c r="G66" i="4"/>
  <c r="B67" i="4" s="1"/>
  <c r="H149" i="4"/>
  <c r="C150" i="4" s="1"/>
  <c r="G136" i="4"/>
  <c r="F79" i="4"/>
  <c r="H80" i="4" s="1"/>
  <c r="H52" i="4"/>
  <c r="G52" i="4"/>
  <c r="H183" i="4"/>
  <c r="G183" i="4"/>
  <c r="H39" i="4"/>
  <c r="G39" i="4"/>
  <c r="F66" i="4"/>
  <c r="F121" i="4"/>
  <c r="I121" i="4"/>
  <c r="J121" i="4" s="1"/>
  <c r="K121" i="4" s="1"/>
  <c r="E52" i="4"/>
  <c r="I136" i="4"/>
  <c r="J136" i="4" s="1"/>
  <c r="K136" i="4" s="1"/>
  <c r="D136" i="4"/>
  <c r="I52" i="4"/>
  <c r="J52" i="4" s="1"/>
  <c r="K52" i="4" s="1"/>
  <c r="D52" i="4"/>
  <c r="D163" i="4"/>
  <c r="F163" i="4" s="1"/>
  <c r="I163" i="4"/>
  <c r="J163" i="4" s="1"/>
  <c r="K163" i="4" s="1"/>
  <c r="F93" i="4"/>
  <c r="I149" i="4"/>
  <c r="J149" i="4" s="1"/>
  <c r="K149" i="4" s="1"/>
  <c r="D149" i="4"/>
  <c r="F149" i="4" s="1"/>
  <c r="F107" i="4"/>
  <c r="F24" i="4"/>
  <c r="B137" i="4" l="1"/>
  <c r="B164" i="4"/>
  <c r="B150" i="4"/>
  <c r="B53" i="4"/>
  <c r="C53" i="4"/>
  <c r="G80" i="4"/>
  <c r="F136" i="4"/>
  <c r="G137" i="4" s="1"/>
  <c r="E122" i="4"/>
  <c r="G122" i="4"/>
  <c r="H122" i="4"/>
  <c r="E67" i="4"/>
  <c r="H67" i="4"/>
  <c r="G67" i="4"/>
  <c r="H150" i="4"/>
  <c r="G150" i="4"/>
  <c r="H94" i="4"/>
  <c r="G94" i="4"/>
  <c r="G164" i="4"/>
  <c r="H164" i="4"/>
  <c r="G108" i="4"/>
  <c r="H108" i="4"/>
  <c r="H25" i="4"/>
  <c r="G25" i="4"/>
  <c r="F52" i="4"/>
  <c r="E108" i="4"/>
  <c r="E137" i="4"/>
  <c r="E164" i="4"/>
  <c r="I122" i="4"/>
  <c r="J122" i="4" s="1"/>
  <c r="K122" i="4" s="1"/>
  <c r="D122" i="4"/>
  <c r="I80" i="4"/>
  <c r="J80" i="4" s="1"/>
  <c r="K80" i="4" s="1"/>
  <c r="D80" i="4"/>
  <c r="E150" i="4"/>
  <c r="E80" i="4"/>
  <c r="C81" i="4" s="1"/>
  <c r="E183" i="4"/>
  <c r="C184" i="4" s="1"/>
  <c r="D183" i="4"/>
  <c r="B184" i="4" s="1"/>
  <c r="I183" i="4"/>
  <c r="J183" i="4" s="1"/>
  <c r="D39" i="4"/>
  <c r="B40" i="4" s="1"/>
  <c r="N102" i="4"/>
  <c r="C151" i="4" l="1"/>
  <c r="B81" i="4"/>
  <c r="C109" i="4"/>
  <c r="C68" i="4"/>
  <c r="B123" i="4"/>
  <c r="C165" i="4"/>
  <c r="C123" i="4"/>
  <c r="F122" i="4"/>
  <c r="H123" i="4" s="1"/>
  <c r="H137" i="4"/>
  <c r="C138" i="4" s="1"/>
  <c r="G53" i="4"/>
  <c r="H53" i="4"/>
  <c r="D67" i="4"/>
  <c r="B68" i="4" s="1"/>
  <c r="I67" i="4"/>
  <c r="J67" i="4" s="1"/>
  <c r="K67" i="4" s="1"/>
  <c r="I137" i="4"/>
  <c r="J137" i="4" s="1"/>
  <c r="K137" i="4" s="1"/>
  <c r="D137" i="4"/>
  <c r="B138" i="4" s="1"/>
  <c r="D108" i="4"/>
  <c r="B109" i="4" s="1"/>
  <c r="I108" i="4"/>
  <c r="J108" i="4" s="1"/>
  <c r="K108" i="4" s="1"/>
  <c r="I53" i="4"/>
  <c r="J53" i="4" s="1"/>
  <c r="K53" i="4" s="1"/>
  <c r="D53" i="4"/>
  <c r="F80" i="4"/>
  <c r="E53" i="4"/>
  <c r="D150" i="4"/>
  <c r="B151" i="4" s="1"/>
  <c r="I150" i="4"/>
  <c r="J150" i="4" s="1"/>
  <c r="K150" i="4" s="1"/>
  <c r="D94" i="4"/>
  <c r="B95" i="4" s="1"/>
  <c r="I94" i="4"/>
  <c r="J94" i="4" s="1"/>
  <c r="K94" i="4" s="1"/>
  <c r="E25" i="4"/>
  <c r="C26" i="4" s="1"/>
  <c r="O102" i="4"/>
  <c r="E94" i="4"/>
  <c r="C95" i="4" s="1"/>
  <c r="E39" i="4"/>
  <c r="C40" i="4" s="1"/>
  <c r="D164" i="4"/>
  <c r="B165" i="4" s="1"/>
  <c r="I164" i="4"/>
  <c r="J164" i="4" s="1"/>
  <c r="K164" i="4" s="1"/>
  <c r="F183" i="4"/>
  <c r="I39" i="4"/>
  <c r="J39" i="4" s="1"/>
  <c r="K39" i="4" s="1"/>
  <c r="D25" i="4"/>
  <c r="B26" i="4" s="1"/>
  <c r="I25" i="4"/>
  <c r="J25" i="4" s="1"/>
  <c r="K25" i="4" s="1"/>
  <c r="C54" i="4" l="1"/>
  <c r="B54" i="4"/>
  <c r="E123" i="4"/>
  <c r="C124" i="4" s="1"/>
  <c r="F137" i="4"/>
  <c r="F164" i="4"/>
  <c r="H165" i="4" s="1"/>
  <c r="G123" i="4"/>
  <c r="F67" i="4"/>
  <c r="G68" i="4" s="1"/>
  <c r="F150" i="4"/>
  <c r="G151" i="4" s="1"/>
  <c r="F108" i="4"/>
  <c r="G109" i="4" s="1"/>
  <c r="G138" i="4"/>
  <c r="H138" i="4"/>
  <c r="H184" i="4"/>
  <c r="G184" i="4"/>
  <c r="D68" i="4"/>
  <c r="H81" i="4"/>
  <c r="G81" i="4"/>
  <c r="F53" i="4"/>
  <c r="E109" i="4"/>
  <c r="F94" i="4"/>
  <c r="E165" i="4"/>
  <c r="C166" i="4" s="1"/>
  <c r="I123" i="4"/>
  <c r="J123" i="4" s="1"/>
  <c r="K123" i="4" s="1"/>
  <c r="D123" i="4"/>
  <c r="E138" i="4"/>
  <c r="E151" i="4"/>
  <c r="E184" i="4"/>
  <c r="E68" i="4"/>
  <c r="F39" i="4"/>
  <c r="F25" i="4"/>
  <c r="C139" i="4" l="1"/>
  <c r="B69" i="4"/>
  <c r="C185" i="4"/>
  <c r="G165" i="4"/>
  <c r="F123" i="4"/>
  <c r="H124" i="4" s="1"/>
  <c r="B124" i="4"/>
  <c r="H68" i="4"/>
  <c r="C69" i="4" s="1"/>
  <c r="H151" i="4"/>
  <c r="C152" i="4" s="1"/>
  <c r="H109" i="4"/>
  <c r="C110" i="4" s="1"/>
  <c r="I68" i="4"/>
  <c r="J68" i="4" s="1"/>
  <c r="K68" i="4" s="1"/>
  <c r="H40" i="4"/>
  <c r="G40" i="4"/>
  <c r="G95" i="4"/>
  <c r="H95" i="4"/>
  <c r="G54" i="4"/>
  <c r="H54" i="4"/>
  <c r="H26" i="4"/>
  <c r="G26" i="4"/>
  <c r="D151" i="4"/>
  <c r="B152" i="4" s="1"/>
  <c r="I151" i="4"/>
  <c r="J151" i="4" s="1"/>
  <c r="K151" i="4" s="1"/>
  <c r="I81" i="4"/>
  <c r="J81" i="4" s="1"/>
  <c r="K81" i="4" s="1"/>
  <c r="D81" i="4"/>
  <c r="B82" i="4" s="1"/>
  <c r="D138" i="4"/>
  <c r="B139" i="4" s="1"/>
  <c r="I138" i="4"/>
  <c r="J138" i="4" s="1"/>
  <c r="K138" i="4" s="1"/>
  <c r="I109" i="4"/>
  <c r="J109" i="4" s="1"/>
  <c r="K109" i="4" s="1"/>
  <c r="D109" i="4"/>
  <c r="B110" i="4" s="1"/>
  <c r="I165" i="4"/>
  <c r="J165" i="4" s="1"/>
  <c r="K165" i="4" s="1"/>
  <c r="D165" i="4"/>
  <c r="E81" i="4"/>
  <c r="C82" i="4" s="1"/>
  <c r="E124" i="4"/>
  <c r="I184" i="4"/>
  <c r="J184" i="4" s="1"/>
  <c r="D184" i="4"/>
  <c r="B185" i="4" s="1"/>
  <c r="F68" i="4"/>
  <c r="N116" i="4"/>
  <c r="G124" i="4" l="1"/>
  <c r="C125" i="4"/>
  <c r="F165" i="4"/>
  <c r="B166" i="4"/>
  <c r="F109" i="4"/>
  <c r="H110" i="4" s="1"/>
  <c r="F151" i="4"/>
  <c r="G152" i="4" s="1"/>
  <c r="F138" i="4"/>
  <c r="H139" i="4" s="1"/>
  <c r="F184" i="4"/>
  <c r="H185" i="4" s="1"/>
  <c r="H166" i="4"/>
  <c r="G166" i="4"/>
  <c r="H69" i="4"/>
  <c r="G69" i="4"/>
  <c r="I124" i="4"/>
  <c r="J124" i="4" s="1"/>
  <c r="K124" i="4" s="1"/>
  <c r="D124" i="4"/>
  <c r="D54" i="4"/>
  <c r="B55" i="4" s="1"/>
  <c r="I54" i="4"/>
  <c r="J54" i="4" s="1"/>
  <c r="K54" i="4" s="1"/>
  <c r="F81" i="4"/>
  <c r="E95" i="4"/>
  <c r="C96" i="4" s="1"/>
  <c r="E26" i="4"/>
  <c r="C27" i="4" s="1"/>
  <c r="O116" i="4"/>
  <c r="E166" i="4"/>
  <c r="E54" i="4"/>
  <c r="C55" i="4" s="1"/>
  <c r="I95" i="4"/>
  <c r="J95" i="4" s="1"/>
  <c r="K95" i="4" s="1"/>
  <c r="D95" i="4"/>
  <c r="B96" i="4" s="1"/>
  <c r="E110" i="4"/>
  <c r="E139" i="4"/>
  <c r="E152" i="4"/>
  <c r="D40" i="4"/>
  <c r="B41" i="4" s="1"/>
  <c r="D26" i="4"/>
  <c r="B27" i="4" s="1"/>
  <c r="I26" i="4"/>
  <c r="J26" i="4" s="1"/>
  <c r="K26" i="4" s="1"/>
  <c r="B125" i="4" l="1"/>
  <c r="C167" i="4"/>
  <c r="H152" i="4"/>
  <c r="C153" i="4" s="1"/>
  <c r="C111" i="4"/>
  <c r="C140" i="4"/>
  <c r="G185" i="4"/>
  <c r="G110" i="4"/>
  <c r="G139" i="4"/>
  <c r="F124" i="4"/>
  <c r="G125" i="4" s="1"/>
  <c r="H82" i="4"/>
  <c r="G82" i="4"/>
  <c r="F26" i="4"/>
  <c r="F54" i="4"/>
  <c r="D139" i="4"/>
  <c r="I139" i="4"/>
  <c r="J139" i="4" s="1"/>
  <c r="K139" i="4" s="1"/>
  <c r="F95" i="4"/>
  <c r="D152" i="4"/>
  <c r="I152" i="4"/>
  <c r="J152" i="4" s="1"/>
  <c r="K152" i="4" s="1"/>
  <c r="I110" i="4"/>
  <c r="J110" i="4" s="1"/>
  <c r="K110" i="4" s="1"/>
  <c r="D110" i="4"/>
  <c r="E125" i="4"/>
  <c r="I166" i="4"/>
  <c r="J166" i="4" s="1"/>
  <c r="K166" i="4" s="1"/>
  <c r="D166" i="4"/>
  <c r="B167" i="4" s="1"/>
  <c r="E40" i="4"/>
  <c r="C41" i="4" s="1"/>
  <c r="E185" i="4"/>
  <c r="C186" i="4" s="1"/>
  <c r="D185" i="4"/>
  <c r="I185" i="4"/>
  <c r="J185" i="4" s="1"/>
  <c r="I40" i="4"/>
  <c r="J40" i="4" s="1"/>
  <c r="K40" i="4" s="1"/>
  <c r="D69" i="4"/>
  <c r="B70" i="4" s="1"/>
  <c r="I69" i="4"/>
  <c r="J69" i="4" s="1"/>
  <c r="E69" i="4"/>
  <c r="C70" i="4" s="1"/>
  <c r="E27" i="4"/>
  <c r="N130" i="4"/>
  <c r="B111" i="4" l="1"/>
  <c r="H125" i="4"/>
  <c r="C126" i="4" s="1"/>
  <c r="B186" i="4"/>
  <c r="F152" i="4"/>
  <c r="H153" i="4" s="1"/>
  <c r="B153" i="4"/>
  <c r="B140" i="4"/>
  <c r="F166" i="4"/>
  <c r="G167" i="4" s="1"/>
  <c r="F139" i="4"/>
  <c r="H140" i="4" s="1"/>
  <c r="F40" i="4"/>
  <c r="G41" i="4" s="1"/>
  <c r="F110" i="4"/>
  <c r="H111" i="4" s="1"/>
  <c r="H27" i="4"/>
  <c r="C28" i="4" s="1"/>
  <c r="G27" i="4"/>
  <c r="H96" i="4"/>
  <c r="G96" i="4"/>
  <c r="H55" i="4"/>
  <c r="G55" i="4"/>
  <c r="E111" i="4"/>
  <c r="I55" i="4"/>
  <c r="J55" i="4" s="1"/>
  <c r="K55" i="4" s="1"/>
  <c r="D55" i="4"/>
  <c r="B56" i="4" s="1"/>
  <c r="O158" i="4"/>
  <c r="E55" i="4"/>
  <c r="D82" i="4"/>
  <c r="B83" i="4" s="1"/>
  <c r="I82" i="4"/>
  <c r="J82" i="4" s="1"/>
  <c r="K82" i="4" s="1"/>
  <c r="E96" i="4"/>
  <c r="E153" i="4"/>
  <c r="E82" i="4"/>
  <c r="C83" i="4" s="1"/>
  <c r="O172" i="4"/>
  <c r="O130" i="4"/>
  <c r="E167" i="4"/>
  <c r="D125" i="4"/>
  <c r="B126" i="4" s="1"/>
  <c r="I125" i="4"/>
  <c r="J125" i="4" s="1"/>
  <c r="K125" i="4" s="1"/>
  <c r="E140" i="4"/>
  <c r="F185" i="4"/>
  <c r="D27" i="4"/>
  <c r="K69" i="4"/>
  <c r="F69" i="4"/>
  <c r="I27" i="4"/>
  <c r="J27" i="4" s="1"/>
  <c r="K27" i="4" s="1"/>
  <c r="H41" i="4" l="1"/>
  <c r="C141" i="4"/>
  <c r="B28" i="4"/>
  <c r="N144" i="4" s="1"/>
  <c r="H167" i="4"/>
  <c r="G153" i="4"/>
  <c r="C168" i="4"/>
  <c r="C97" i="4"/>
  <c r="C154" i="4"/>
  <c r="G140" i="4"/>
  <c r="C112" i="4"/>
  <c r="C56" i="4"/>
  <c r="F125" i="4"/>
  <c r="G126" i="4" s="1"/>
  <c r="F82" i="4"/>
  <c r="G83" i="4" s="1"/>
  <c r="G111" i="4"/>
  <c r="F27" i="4"/>
  <c r="G28" i="4" s="1"/>
  <c r="H186" i="4"/>
  <c r="G186" i="4"/>
  <c r="H70" i="4"/>
  <c r="G70" i="4"/>
  <c r="Q172" i="4"/>
  <c r="H10" i="2" s="1"/>
  <c r="H18" i="8" s="1"/>
  <c r="D153" i="4"/>
  <c r="B154" i="4" s="1"/>
  <c r="I153" i="4"/>
  <c r="J153" i="4" s="1"/>
  <c r="K153" i="4" s="1"/>
  <c r="I140" i="4"/>
  <c r="J140" i="4" s="1"/>
  <c r="K140" i="4" s="1"/>
  <c r="D140" i="4"/>
  <c r="B141" i="4" s="1"/>
  <c r="E41" i="4"/>
  <c r="C42" i="4" s="1"/>
  <c r="D111" i="4"/>
  <c r="I111" i="4"/>
  <c r="J111" i="4" s="1"/>
  <c r="K111" i="4" s="1"/>
  <c r="E83" i="4"/>
  <c r="I96" i="4"/>
  <c r="J96" i="4" s="1"/>
  <c r="K96" i="4" s="1"/>
  <c r="D96" i="4"/>
  <c r="B97" i="4" s="1"/>
  <c r="D167" i="4"/>
  <c r="I167" i="4"/>
  <c r="J167" i="4" s="1"/>
  <c r="K167" i="4" s="1"/>
  <c r="F55" i="4"/>
  <c r="D186" i="4"/>
  <c r="B187" i="4" s="1"/>
  <c r="D41" i="4"/>
  <c r="B42" i="4" s="1"/>
  <c r="I41" i="4"/>
  <c r="J41" i="4" s="1"/>
  <c r="K41" i="4" s="1"/>
  <c r="B112" i="4" l="1"/>
  <c r="H126" i="4"/>
  <c r="H28" i="4"/>
  <c r="F167" i="4"/>
  <c r="G168" i="4" s="1"/>
  <c r="B168" i="4"/>
  <c r="F111" i="4"/>
  <c r="H112" i="4" s="1"/>
  <c r="D126" i="4"/>
  <c r="B127" i="4" s="1"/>
  <c r="F41" i="4"/>
  <c r="H42" i="4" s="1"/>
  <c r="F140" i="4"/>
  <c r="H141" i="4" s="1"/>
  <c r="F96" i="4"/>
  <c r="H97" i="4" s="1"/>
  <c r="F153" i="4"/>
  <c r="H154" i="4" s="1"/>
  <c r="H83" i="4"/>
  <c r="C84" i="4" s="1"/>
  <c r="G56" i="4"/>
  <c r="H56" i="4"/>
  <c r="H23" i="2"/>
  <c r="H40" i="2" s="1"/>
  <c r="E112" i="4"/>
  <c r="I126" i="4"/>
  <c r="J126" i="4" s="1"/>
  <c r="K126" i="4" s="1"/>
  <c r="E126" i="4"/>
  <c r="E56" i="4"/>
  <c r="E141" i="4"/>
  <c r="E154" i="4"/>
  <c r="E168" i="4"/>
  <c r="E97" i="4"/>
  <c r="I83" i="4"/>
  <c r="J83" i="4" s="1"/>
  <c r="K83" i="4" s="1"/>
  <c r="D83" i="4"/>
  <c r="B84" i="4" s="1"/>
  <c r="I186" i="4"/>
  <c r="J186" i="4" s="1"/>
  <c r="E186" i="4"/>
  <c r="C187" i="4" s="1"/>
  <c r="E42" i="4"/>
  <c r="D70" i="4"/>
  <c r="B71" i="4" s="1"/>
  <c r="I70" i="4"/>
  <c r="J70" i="4" s="1"/>
  <c r="E70" i="4"/>
  <c r="C71" i="4" s="1"/>
  <c r="O144" i="4"/>
  <c r="H168" i="4" l="1"/>
  <c r="C169" i="4" s="1"/>
  <c r="C127" i="4"/>
  <c r="E127" i="4" s="1"/>
  <c r="C57" i="4"/>
  <c r="C113" i="4"/>
  <c r="C43" i="4"/>
  <c r="C155" i="4"/>
  <c r="G154" i="4"/>
  <c r="G112" i="4"/>
  <c r="G97" i="4"/>
  <c r="C98" i="4"/>
  <c r="G42" i="4"/>
  <c r="F83" i="4"/>
  <c r="H84" i="4" s="1"/>
  <c r="F126" i="4"/>
  <c r="G127" i="4" s="1"/>
  <c r="F186" i="4"/>
  <c r="G187" i="4" s="1"/>
  <c r="G141" i="4"/>
  <c r="D141" i="4"/>
  <c r="F141" i="4" s="1"/>
  <c r="I141" i="4"/>
  <c r="J141" i="4" s="1"/>
  <c r="K141" i="4" s="1"/>
  <c r="D56" i="4"/>
  <c r="B57" i="4" s="1"/>
  <c r="I56" i="4"/>
  <c r="J56" i="4" s="1"/>
  <c r="K56" i="4" s="1"/>
  <c r="E84" i="4"/>
  <c r="I97" i="4"/>
  <c r="J97" i="4" s="1"/>
  <c r="K97" i="4" s="1"/>
  <c r="D97" i="4"/>
  <c r="D112" i="4"/>
  <c r="I112" i="4"/>
  <c r="J112" i="4" s="1"/>
  <c r="K112" i="4" s="1"/>
  <c r="I168" i="4"/>
  <c r="J168" i="4" s="1"/>
  <c r="K168" i="4" s="1"/>
  <c r="D168" i="4"/>
  <c r="B169" i="4" s="1"/>
  <c r="D154" i="4"/>
  <c r="I154" i="4"/>
  <c r="J154" i="4" s="1"/>
  <c r="K154" i="4" s="1"/>
  <c r="D42" i="4"/>
  <c r="I42" i="4"/>
  <c r="J42" i="4" s="1"/>
  <c r="K42" i="4" s="1"/>
  <c r="K70" i="4"/>
  <c r="F70" i="4"/>
  <c r="D28" i="4"/>
  <c r="B29" i="4" s="1"/>
  <c r="I28" i="4"/>
  <c r="J28" i="4" s="1"/>
  <c r="K28" i="4" s="1"/>
  <c r="E28" i="4"/>
  <c r="C29" i="4" s="1"/>
  <c r="B98" i="4" l="1"/>
  <c r="B155" i="4"/>
  <c r="C85" i="4"/>
  <c r="B43" i="4"/>
  <c r="F112" i="4"/>
  <c r="H113" i="4" s="1"/>
  <c r="B113" i="4"/>
  <c r="H127" i="4"/>
  <c r="F154" i="4"/>
  <c r="H155" i="4" s="1"/>
  <c r="H187" i="4"/>
  <c r="G84" i="4"/>
  <c r="F97" i="4"/>
  <c r="G98" i="4" s="1"/>
  <c r="F56" i="4"/>
  <c r="H57" i="4" s="1"/>
  <c r="F168" i="4"/>
  <c r="G169" i="4" s="1"/>
  <c r="H71" i="4"/>
  <c r="G71" i="4"/>
  <c r="E169" i="4"/>
  <c r="D84" i="4"/>
  <c r="I84" i="4"/>
  <c r="J84" i="4" s="1"/>
  <c r="K84" i="4" s="1"/>
  <c r="I127" i="4"/>
  <c r="J127" i="4" s="1"/>
  <c r="K127" i="4" s="1"/>
  <c r="D127" i="4"/>
  <c r="F127" i="4" s="1"/>
  <c r="E155" i="4"/>
  <c r="E57" i="4"/>
  <c r="E113" i="4"/>
  <c r="E98" i="4"/>
  <c r="M186" i="4"/>
  <c r="M158" i="4" s="1"/>
  <c r="E187" i="4"/>
  <c r="M176" i="4"/>
  <c r="M18" i="4" s="1"/>
  <c r="M177" i="4"/>
  <c r="M32" i="4" s="1"/>
  <c r="M178" i="4"/>
  <c r="M46" i="4" s="1"/>
  <c r="M179" i="4"/>
  <c r="M60" i="4" s="1"/>
  <c r="M180" i="4"/>
  <c r="M74" i="4" s="1"/>
  <c r="M181" i="4"/>
  <c r="M88" i="4" s="1"/>
  <c r="M185" i="4"/>
  <c r="M144" i="4" s="1"/>
  <c r="M182" i="4"/>
  <c r="M102" i="4" s="1"/>
  <c r="M184" i="4"/>
  <c r="M130" i="4" s="1"/>
  <c r="M183" i="4"/>
  <c r="M116" i="4" s="1"/>
  <c r="I187" i="4"/>
  <c r="J187" i="4" s="1"/>
  <c r="L186" i="4"/>
  <c r="L158" i="4" s="1"/>
  <c r="D187" i="4"/>
  <c r="L176" i="4"/>
  <c r="L18" i="4" s="1"/>
  <c r="P18" i="4" s="1"/>
  <c r="C5" i="2" s="1"/>
  <c r="L177" i="4"/>
  <c r="L32" i="4" s="1"/>
  <c r="P32" i="4" s="1"/>
  <c r="C6" i="2" s="1"/>
  <c r="L178" i="4"/>
  <c r="L46" i="4" s="1"/>
  <c r="P46" i="4" s="1"/>
  <c r="D5" i="2" s="1"/>
  <c r="L179" i="4"/>
  <c r="L60" i="4" s="1"/>
  <c r="P60" i="4" s="1"/>
  <c r="D6" i="2" s="1"/>
  <c r="L180" i="4"/>
  <c r="L74" i="4" s="1"/>
  <c r="P74" i="4" s="1"/>
  <c r="E5" i="2" s="1"/>
  <c r="L183" i="4"/>
  <c r="L116" i="4" s="1"/>
  <c r="P116" i="4" s="1"/>
  <c r="F6" i="2" s="1"/>
  <c r="L184" i="4"/>
  <c r="L130" i="4" s="1"/>
  <c r="P130" i="4" s="1"/>
  <c r="G5" i="2" s="1"/>
  <c r="L182" i="4"/>
  <c r="L102" i="4" s="1"/>
  <c r="P102" i="4" s="1"/>
  <c r="F5" i="2" s="1"/>
  <c r="L185" i="4"/>
  <c r="L144" i="4" s="1"/>
  <c r="P144" i="4" s="1"/>
  <c r="G6" i="2" s="1"/>
  <c r="L181" i="4"/>
  <c r="L88" i="4" s="1"/>
  <c r="P88" i="4" s="1"/>
  <c r="E6" i="2" s="1"/>
  <c r="E71" i="4"/>
  <c r="F42" i="4"/>
  <c r="F28" i="4"/>
  <c r="G15" i="8" l="1"/>
  <c r="F16" i="8"/>
  <c r="E15" i="8"/>
  <c r="D16" i="8"/>
  <c r="C16" i="8"/>
  <c r="C20" i="8" s="1"/>
  <c r="D15" i="8"/>
  <c r="D19" i="8" s="1"/>
  <c r="D11" i="2"/>
  <c r="C15" i="8"/>
  <c r="C19" i="8" s="1"/>
  <c r="F187" i="4"/>
  <c r="F15" i="8"/>
  <c r="G16" i="8"/>
  <c r="E16" i="8"/>
  <c r="E20" i="8" s="1"/>
  <c r="H169" i="4"/>
  <c r="G113" i="4"/>
  <c r="G155" i="4"/>
  <c r="H98" i="4"/>
  <c r="C99" i="4" s="1"/>
  <c r="F84" i="4"/>
  <c r="G85" i="4" s="1"/>
  <c r="B85" i="4"/>
  <c r="G57" i="4"/>
  <c r="G29" i="4"/>
  <c r="H29" i="4"/>
  <c r="H43" i="4"/>
  <c r="G43" i="4"/>
  <c r="Q74" i="4"/>
  <c r="E9" i="2" s="1"/>
  <c r="E17" i="8" s="1"/>
  <c r="Q46" i="4"/>
  <c r="D9" i="2" s="1"/>
  <c r="D17" i="8" s="1"/>
  <c r="Q32" i="4"/>
  <c r="C10" i="2" s="1"/>
  <c r="C18" i="8" s="1"/>
  <c r="Q158" i="4"/>
  <c r="H9" i="2" s="1"/>
  <c r="H17" i="8" s="1"/>
  <c r="Q18" i="4"/>
  <c r="C9" i="2" s="1"/>
  <c r="C17" i="8" s="1"/>
  <c r="Q88" i="4"/>
  <c r="E10" i="2" s="1"/>
  <c r="E18" i="8" s="1"/>
  <c r="Q60" i="4"/>
  <c r="D10" i="2" s="1"/>
  <c r="D18" i="8" s="1"/>
  <c r="Q130" i="4"/>
  <c r="G9" i="2" s="1"/>
  <c r="G17" i="8" s="1"/>
  <c r="Q102" i="4"/>
  <c r="F9" i="2" s="1"/>
  <c r="F17" i="8" s="1"/>
  <c r="Q116" i="4"/>
  <c r="F10" i="2" s="1"/>
  <c r="F18" i="8" s="1"/>
  <c r="Q144" i="4"/>
  <c r="G10" i="2" s="1"/>
  <c r="G18" i="8" s="1"/>
  <c r="C19" i="2"/>
  <c r="C38" i="2"/>
  <c r="D18" i="2"/>
  <c r="D37" i="2"/>
  <c r="D98" i="4"/>
  <c r="B99" i="4" s="1"/>
  <c r="I98" i="4"/>
  <c r="J98" i="4" s="1"/>
  <c r="K98" i="4" s="1"/>
  <c r="I155" i="4"/>
  <c r="J155" i="4" s="1"/>
  <c r="K155" i="4" s="1"/>
  <c r="D155" i="4"/>
  <c r="F155" i="4" s="1"/>
  <c r="F18" i="2"/>
  <c r="F37" i="2"/>
  <c r="F38" i="2"/>
  <c r="F19" i="2"/>
  <c r="I113" i="4"/>
  <c r="J113" i="4" s="1"/>
  <c r="K113" i="4" s="1"/>
  <c r="D113" i="4"/>
  <c r="F113" i="4" s="1"/>
  <c r="E85" i="4"/>
  <c r="D57" i="4"/>
  <c r="F57" i="4" s="1"/>
  <c r="I57" i="4"/>
  <c r="J57" i="4" s="1"/>
  <c r="K57" i="4" s="1"/>
  <c r="E38" i="2"/>
  <c r="E19" i="2"/>
  <c r="G38" i="2"/>
  <c r="G19" i="2"/>
  <c r="C18" i="2"/>
  <c r="C37" i="2"/>
  <c r="G37" i="2"/>
  <c r="G18" i="2"/>
  <c r="E37" i="2"/>
  <c r="E18" i="2"/>
  <c r="D38" i="2"/>
  <c r="D19" i="2"/>
  <c r="I169" i="4"/>
  <c r="J169" i="4" s="1"/>
  <c r="K169" i="4" s="1"/>
  <c r="D169" i="4"/>
  <c r="F169" i="4" s="1"/>
  <c r="N172" i="4"/>
  <c r="P172" i="4" s="1"/>
  <c r="H6" i="2" s="1"/>
  <c r="D71" i="4"/>
  <c r="F71" i="4" s="1"/>
  <c r="I71" i="4"/>
  <c r="J71" i="4" s="1"/>
  <c r="K71" i="4" s="1"/>
  <c r="N158" i="4"/>
  <c r="P158" i="4" s="1"/>
  <c r="H5" i="2" s="1"/>
  <c r="G20" i="8" l="1"/>
  <c r="F19" i="8"/>
  <c r="D20" i="8"/>
  <c r="E19" i="8"/>
  <c r="E29" i="8" s="1"/>
  <c r="F20" i="8"/>
  <c r="G19" i="8"/>
  <c r="G29" i="8"/>
  <c r="D12" i="2"/>
  <c r="D88" i="2" s="1"/>
  <c r="E12" i="2"/>
  <c r="G12" i="2"/>
  <c r="G88" i="2" s="1"/>
  <c r="E11" i="2"/>
  <c r="F11" i="2"/>
  <c r="F12" i="2"/>
  <c r="F88" i="2" s="1"/>
  <c r="H16" i="8"/>
  <c r="H20" i="8" s="1"/>
  <c r="H12" i="2"/>
  <c r="H88" i="2" s="1"/>
  <c r="C11" i="2"/>
  <c r="G11" i="2"/>
  <c r="C12" i="2"/>
  <c r="C88" i="2" s="1"/>
  <c r="H15" i="8"/>
  <c r="H19" i="8" s="1"/>
  <c r="H11" i="2"/>
  <c r="H85" i="4"/>
  <c r="F29" i="8"/>
  <c r="F98" i="4"/>
  <c r="H99" i="4" s="1"/>
  <c r="G23" i="2"/>
  <c r="G40" i="2" s="1"/>
  <c r="G42" i="2" s="1"/>
  <c r="F23" i="2"/>
  <c r="F40" i="2" s="1"/>
  <c r="F42" i="2" s="1"/>
  <c r="D23" i="2"/>
  <c r="D40" i="2" s="1"/>
  <c r="D42" i="2" s="1"/>
  <c r="H22" i="2"/>
  <c r="H39" i="2" s="1"/>
  <c r="D22" i="2"/>
  <c r="D39" i="2" s="1"/>
  <c r="D41" i="2" s="1"/>
  <c r="F22" i="2"/>
  <c r="F39" i="2" s="1"/>
  <c r="F41" i="2" s="1"/>
  <c r="G22" i="2"/>
  <c r="G39" i="2" s="1"/>
  <c r="G41" i="2" s="1"/>
  <c r="E23" i="2"/>
  <c r="E40" i="2" s="1"/>
  <c r="E42" i="2" s="1"/>
  <c r="C22" i="2"/>
  <c r="C39" i="2" s="1"/>
  <c r="C41" i="2" s="1"/>
  <c r="C23" i="2"/>
  <c r="C40" i="2" s="1"/>
  <c r="C42" i="2" s="1"/>
  <c r="E22" i="2"/>
  <c r="E39" i="2" s="1"/>
  <c r="E41" i="2" s="1"/>
  <c r="H38" i="2"/>
  <c r="H42" i="2" s="1"/>
  <c r="H19" i="2"/>
  <c r="H37" i="2"/>
  <c r="H18" i="2"/>
  <c r="I85" i="4"/>
  <c r="J85" i="4" s="1"/>
  <c r="K85" i="4" s="1"/>
  <c r="D85" i="4"/>
  <c r="F85" i="4" s="1"/>
  <c r="E99" i="4"/>
  <c r="D43" i="4"/>
  <c r="I43" i="4"/>
  <c r="C29" i="8" l="1"/>
  <c r="F25" i="2"/>
  <c r="H29" i="8"/>
  <c r="H30" i="8" s="1"/>
  <c r="D29" i="8"/>
  <c r="D35" i="8" s="1"/>
  <c r="C176" i="3" s="1"/>
  <c r="D24" i="2"/>
  <c r="H41" i="2"/>
  <c r="H44" i="2" s="1"/>
  <c r="G24" i="2"/>
  <c r="G27" i="2" s="1"/>
  <c r="F3" i="10" s="1"/>
  <c r="D25" i="2"/>
  <c r="D28" i="2" s="1"/>
  <c r="F24" i="2"/>
  <c r="G25" i="2"/>
  <c r="G28" i="2" s="1"/>
  <c r="G90" i="2" s="1"/>
  <c r="C25" i="2"/>
  <c r="C28" i="2" s="1"/>
  <c r="C90" i="2" s="1"/>
  <c r="H25" i="2"/>
  <c r="H28" i="2" s="1"/>
  <c r="H90" i="2" s="1"/>
  <c r="E24" i="2"/>
  <c r="E27" i="2" s="1"/>
  <c r="D3" i="10" s="1"/>
  <c r="E25" i="2"/>
  <c r="E28" i="2" s="1"/>
  <c r="C24" i="2"/>
  <c r="C27" i="2" s="1"/>
  <c r="B3" i="10" s="1"/>
  <c r="H24" i="2"/>
  <c r="H27" i="2" s="1"/>
  <c r="H87" i="2"/>
  <c r="G4" i="10"/>
  <c r="G5" i="10"/>
  <c r="F4" i="10"/>
  <c r="F5" i="10"/>
  <c r="D5" i="10"/>
  <c r="D4" i="10"/>
  <c r="B5" i="10"/>
  <c r="B4" i="10"/>
  <c r="C5" i="10"/>
  <c r="C4" i="10"/>
  <c r="E5" i="10"/>
  <c r="E4" i="10"/>
  <c r="D92" i="2"/>
  <c r="B37" i="1" s="1"/>
  <c r="G87" i="2"/>
  <c r="H92" i="2"/>
  <c r="B41" i="1" s="1"/>
  <c r="E88" i="2"/>
  <c r="F92" i="2"/>
  <c r="B39" i="1" s="1"/>
  <c r="F87" i="2"/>
  <c r="G92" i="2"/>
  <c r="B40" i="1" s="1"/>
  <c r="E92" i="2"/>
  <c r="B38" i="1" s="1"/>
  <c r="E87" i="2"/>
  <c r="D87" i="2"/>
  <c r="C92" i="2"/>
  <c r="B36" i="1" s="1"/>
  <c r="C87" i="2"/>
  <c r="H35" i="8"/>
  <c r="G176" i="3" s="1"/>
  <c r="K39" i="1" s="1"/>
  <c r="D44" i="2"/>
  <c r="G44" i="2"/>
  <c r="F44" i="2"/>
  <c r="E44" i="2"/>
  <c r="C44" i="2"/>
  <c r="G99" i="4"/>
  <c r="E30" i="8"/>
  <c r="E35" i="8"/>
  <c r="D176" i="3" s="1"/>
  <c r="G30" i="8"/>
  <c r="G35" i="8"/>
  <c r="F176" i="3" s="1"/>
  <c r="F30" i="8"/>
  <c r="F35" i="8"/>
  <c r="E176" i="3" s="1"/>
  <c r="C30" i="8"/>
  <c r="C35" i="8"/>
  <c r="B176" i="3" s="1"/>
  <c r="D27" i="2"/>
  <c r="F28" i="2"/>
  <c r="F90" i="2" s="1"/>
  <c r="F27" i="2"/>
  <c r="E3" i="10" s="1"/>
  <c r="I99" i="4"/>
  <c r="J99" i="4" s="1"/>
  <c r="K99" i="4" s="1"/>
  <c r="D99" i="4"/>
  <c r="F99" i="4" s="1"/>
  <c r="E29" i="4"/>
  <c r="J43" i="4"/>
  <c r="K43" i="4" s="1"/>
  <c r="E43" i="4"/>
  <c r="F43" i="4" s="1"/>
  <c r="I29" i="4"/>
  <c r="J29" i="4" s="1"/>
  <c r="K29" i="4" s="1"/>
  <c r="D29" i="4"/>
  <c r="D30" i="8" l="1"/>
  <c r="D93" i="2"/>
  <c r="C37" i="1" s="1"/>
  <c r="C3" i="10"/>
  <c r="H89" i="2"/>
  <c r="G3" i="10"/>
  <c r="C93" i="2"/>
  <c r="C36" i="1" s="1"/>
  <c r="F93" i="2"/>
  <c r="C39" i="1" s="1"/>
  <c r="F89" i="2"/>
  <c r="G93" i="2"/>
  <c r="C40" i="1" s="1"/>
  <c r="E93" i="2"/>
  <c r="C38" i="1" s="1"/>
  <c r="G89" i="2"/>
  <c r="H93" i="2"/>
  <c r="C41" i="1" s="1"/>
  <c r="C89" i="2"/>
  <c r="C40" i="8"/>
  <c r="E45" i="2"/>
  <c r="H5" i="1" s="1"/>
  <c r="E39" i="8"/>
  <c r="E41" i="8" s="1"/>
  <c r="E43" i="8" s="1"/>
  <c r="G45" i="2"/>
  <c r="J5" i="1" s="1"/>
  <c r="G39" i="8"/>
  <c r="G41" i="8" s="1"/>
  <c r="G43" i="8" s="1"/>
  <c r="E90" i="2"/>
  <c r="H40" i="8"/>
  <c r="E89" i="2"/>
  <c r="G40" i="8"/>
  <c r="D90" i="2"/>
  <c r="F40" i="8"/>
  <c r="D45" i="2"/>
  <c r="G5" i="1" s="1"/>
  <c r="D39" i="8"/>
  <c r="D41" i="8" s="1"/>
  <c r="D43" i="8" s="1"/>
  <c r="C39" i="8"/>
  <c r="C41" i="8" s="1"/>
  <c r="C43" i="8" s="1"/>
  <c r="C45" i="2"/>
  <c r="H45" i="2"/>
  <c r="K5" i="1" s="1"/>
  <c r="H39" i="8"/>
  <c r="H41" i="8" s="1"/>
  <c r="H43" i="8" s="1"/>
  <c r="F45" i="2"/>
  <c r="I5" i="1" s="1"/>
  <c r="F39" i="8"/>
  <c r="F41" i="8" s="1"/>
  <c r="F43" i="8" s="1"/>
  <c r="D89" i="2"/>
  <c r="D40" i="8"/>
  <c r="E40" i="8"/>
  <c r="F39" i="1"/>
  <c r="C38" i="8"/>
  <c r="H39" i="1"/>
  <c r="G39" i="1"/>
  <c r="I39" i="1"/>
  <c r="J39" i="1"/>
  <c r="F38" i="8"/>
  <c r="D38" i="8"/>
  <c r="H38" i="8"/>
  <c r="E38" i="8"/>
  <c r="G38" i="8"/>
  <c r="F29" i="4"/>
  <c r="G16" i="1" l="1"/>
  <c r="G29" i="1" s="1"/>
  <c r="F5" i="1"/>
  <c r="K16" i="1"/>
  <c r="J16" i="1"/>
  <c r="J29" i="1" s="1"/>
  <c r="I16" i="1"/>
  <c r="I29" i="1" s="1"/>
  <c r="F5" i="6" s="1"/>
  <c r="H16" i="1"/>
  <c r="H29" i="1" s="1"/>
  <c r="F16" i="1"/>
  <c r="F29" i="1" s="1"/>
  <c r="K29" i="1" l="1"/>
  <c r="H5" i="6" s="1"/>
  <c r="G5" i="6"/>
  <c r="F5" i="5" s="1"/>
  <c r="E5" i="6"/>
  <c r="D5" i="6"/>
  <c r="D5" i="5" l="1"/>
  <c r="G5" i="5"/>
  <c r="E5" i="5"/>
  <c r="C5" i="6" l="1"/>
  <c r="B5" i="5" s="1"/>
  <c r="C5" i="5" l="1"/>
  <c r="B6" i="5"/>
  <c r="C21" i="7" l="1"/>
  <c r="G23" i="7" s="1"/>
  <c r="E169" i="3" l="1"/>
  <c r="I32" i="1" s="1"/>
  <c r="F30" i="7"/>
  <c r="D177" i="3" s="1"/>
  <c r="H40" i="1" s="1"/>
  <c r="F26" i="7"/>
  <c r="D172" i="3" s="1"/>
  <c r="H35" i="1" s="1"/>
  <c r="E26" i="7"/>
  <c r="C172" i="3" s="1"/>
  <c r="G35" i="1" s="1"/>
  <c r="F31" i="7"/>
  <c r="D178" i="3" s="1"/>
  <c r="H41" i="1" s="1"/>
  <c r="I26" i="7"/>
  <c r="G172" i="3" s="1"/>
  <c r="K35" i="1" s="1"/>
  <c r="F25" i="7"/>
  <c r="D171" i="3" s="1"/>
  <c r="H34" i="1" s="1"/>
  <c r="I27" i="7"/>
  <c r="G173" i="3" s="1"/>
  <c r="K36" i="1" s="1"/>
  <c r="H30" i="7"/>
  <c r="F177" i="3" s="1"/>
  <c r="J40" i="1" s="1"/>
  <c r="B174" i="3"/>
  <c r="F37" i="1" s="1"/>
  <c r="G29" i="7"/>
  <c r="E175" i="3" s="1"/>
  <c r="I38" i="1" s="1"/>
  <c r="D26" i="7"/>
  <c r="B172" i="3" s="1"/>
  <c r="F35" i="1" s="1"/>
  <c r="F174" i="3"/>
  <c r="J37" i="1" s="1"/>
  <c r="I23" i="7"/>
  <c r="E174" i="3"/>
  <c r="I37" i="1" s="1"/>
  <c r="I29" i="7"/>
  <c r="G175" i="3" s="1"/>
  <c r="K38" i="1" s="1"/>
  <c r="I30" i="7"/>
  <c r="G177" i="3" s="1"/>
  <c r="K40" i="1" s="1"/>
  <c r="D29" i="7"/>
  <c r="B175" i="3" s="1"/>
  <c r="F38" i="1" s="1"/>
  <c r="E31" i="7"/>
  <c r="C178" i="3" s="1"/>
  <c r="G41" i="1" s="1"/>
  <c r="C173" i="3"/>
  <c r="G36" i="1" s="1"/>
  <c r="F173" i="3"/>
  <c r="J36" i="1" s="1"/>
  <c r="G24" i="7"/>
  <c r="E170" i="3" s="1"/>
  <c r="I33" i="1" s="1"/>
  <c r="E173" i="3"/>
  <c r="I36" i="1" s="1"/>
  <c r="E29" i="7"/>
  <c r="C175" i="3" s="1"/>
  <c r="G38" i="1" s="1"/>
  <c r="H29" i="7"/>
  <c r="F175" i="3" s="1"/>
  <c r="J38" i="1" s="1"/>
  <c r="D24" i="7"/>
  <c r="B170" i="3" s="1"/>
  <c r="F33" i="1" s="1"/>
  <c r="H23" i="7"/>
  <c r="F29" i="7"/>
  <c r="D175" i="3" s="1"/>
  <c r="H38" i="1" s="1"/>
  <c r="G25" i="7"/>
  <c r="E171" i="3" s="1"/>
  <c r="I34" i="1" s="1"/>
  <c r="I31" i="7"/>
  <c r="G178" i="3" s="1"/>
  <c r="K41" i="1" s="1"/>
  <c r="E23" i="7"/>
  <c r="D31" i="7"/>
  <c r="B178" i="3" s="1"/>
  <c r="F41" i="1" s="1"/>
  <c r="D25" i="7"/>
  <c r="B171" i="3" s="1"/>
  <c r="F34" i="1" s="1"/>
  <c r="E24" i="7"/>
  <c r="C170" i="3" s="1"/>
  <c r="G33" i="1" s="1"/>
  <c r="F24" i="7"/>
  <c r="D170" i="3" s="1"/>
  <c r="H33" i="1" s="1"/>
  <c r="H26" i="7"/>
  <c r="F172" i="3" s="1"/>
  <c r="J35" i="1" s="1"/>
  <c r="I25" i="7"/>
  <c r="G171" i="3" s="1"/>
  <c r="K34" i="1" s="1"/>
  <c r="E25" i="7"/>
  <c r="C171" i="3" s="1"/>
  <c r="G34" i="1" s="1"/>
  <c r="H31" i="7"/>
  <c r="F178" i="3" s="1"/>
  <c r="J41" i="1" s="1"/>
  <c r="B173" i="3"/>
  <c r="F36" i="1" s="1"/>
  <c r="C174" i="3"/>
  <c r="G37" i="1" s="1"/>
  <c r="E30" i="7"/>
  <c r="C177" i="3" s="1"/>
  <c r="G40" i="1" s="1"/>
  <c r="D173" i="3"/>
  <c r="H36" i="1" s="1"/>
  <c r="D174" i="3"/>
  <c r="H37" i="1" s="1"/>
  <c r="G30" i="7"/>
  <c r="E177" i="3" s="1"/>
  <c r="I40" i="1" s="1"/>
  <c r="G31" i="7"/>
  <c r="E178" i="3" s="1"/>
  <c r="I41" i="1" s="1"/>
  <c r="G26" i="7"/>
  <c r="E172" i="3" s="1"/>
  <c r="I35" i="1" s="1"/>
  <c r="H25" i="7"/>
  <c r="F171" i="3" s="1"/>
  <c r="J34" i="1" s="1"/>
  <c r="H24" i="7"/>
  <c r="F170" i="3" s="1"/>
  <c r="J33" i="1" s="1"/>
  <c r="I24" i="7"/>
  <c r="G170" i="3" s="1"/>
  <c r="K33" i="1" s="1"/>
  <c r="G174" i="3"/>
  <c r="K37" i="1" s="1"/>
  <c r="F23" i="7"/>
  <c r="D30" i="7"/>
  <c r="B177" i="3" s="1"/>
  <c r="F40" i="1" s="1"/>
  <c r="G169" i="3" l="1"/>
  <c r="K32" i="1" s="1"/>
  <c r="F169" i="3"/>
  <c r="J32" i="1" s="1"/>
  <c r="D169" i="3"/>
  <c r="H32" i="1" s="1"/>
  <c r="C169" i="3"/>
  <c r="G32" i="1" l="1"/>
  <c r="F32" i="1"/>
  <c r="E32" i="7" l="1"/>
  <c r="E33" i="7" s="1"/>
  <c r="E35" i="7" s="1"/>
  <c r="H32" i="7"/>
  <c r="F179" i="3" s="1"/>
  <c r="F32" i="7"/>
  <c r="F33" i="7" s="1"/>
  <c r="F35" i="7" s="1"/>
  <c r="G32" i="7"/>
  <c r="E179" i="3" s="1"/>
  <c r="I32" i="7"/>
  <c r="G179" i="3" s="1"/>
  <c r="C33" i="7"/>
  <c r="D32" i="7"/>
  <c r="D33" i="7" s="1"/>
  <c r="D35" i="7" s="1"/>
  <c r="D179" i="3" l="1"/>
  <c r="D180" i="3" s="1"/>
  <c r="G33" i="7"/>
  <c r="G35" i="7" s="1"/>
  <c r="J42" i="1"/>
  <c r="J43" i="1" s="1"/>
  <c r="F180" i="3"/>
  <c r="H33" i="7"/>
  <c r="H35" i="7" s="1"/>
  <c r="H42" i="1"/>
  <c r="H43" i="1" s="1"/>
  <c r="C179" i="3"/>
  <c r="G42" i="1" s="1"/>
  <c r="G43" i="1" s="1"/>
  <c r="I33" i="7"/>
  <c r="I35" i="7" s="1"/>
  <c r="E180" i="3"/>
  <c r="I42" i="1"/>
  <c r="I43" i="1" s="1"/>
  <c r="K42" i="1"/>
  <c r="K43" i="1" s="1"/>
  <c r="G180" i="3"/>
  <c r="B179" i="3"/>
  <c r="G45" i="1" l="1"/>
  <c r="C8" i="10" s="1"/>
  <c r="J45" i="1"/>
  <c r="F8" i="10" s="1"/>
  <c r="G19" i="6"/>
  <c r="G20" i="6" s="1"/>
  <c r="G26" i="6" s="1"/>
  <c r="C180" i="3"/>
  <c r="D19" i="6"/>
  <c r="D20" i="6" s="1"/>
  <c r="D26" i="6" s="1"/>
  <c r="H45" i="1"/>
  <c r="D8" i="10" s="1"/>
  <c r="E19" i="6"/>
  <c r="E20" i="6" s="1"/>
  <c r="E26" i="6" s="1"/>
  <c r="K45" i="1"/>
  <c r="G8" i="10" s="1"/>
  <c r="H19" i="6"/>
  <c r="H20" i="6" s="1"/>
  <c r="H26" i="6" s="1"/>
  <c r="F4" i="5"/>
  <c r="D30" i="6"/>
  <c r="C4" i="5"/>
  <c r="F19" i="6"/>
  <c r="F20" i="6" s="1"/>
  <c r="F26" i="6" s="1"/>
  <c r="I45" i="1"/>
  <c r="E8" i="10" s="1"/>
  <c r="F42" i="1"/>
  <c r="F43" i="1" s="1"/>
  <c r="B180" i="3"/>
  <c r="G30" i="6" l="1"/>
  <c r="D4" i="5"/>
  <c r="E30" i="6"/>
  <c r="D9" i="5"/>
  <c r="E4" i="5"/>
  <c r="F30" i="6"/>
  <c r="E9" i="5"/>
  <c r="G9" i="5"/>
  <c r="F45" i="1"/>
  <c r="B8" i="10" s="1"/>
  <c r="C19" i="6"/>
  <c r="C20" i="6" s="1"/>
  <c r="C26" i="6" s="1"/>
  <c r="F9" i="5"/>
  <c r="H30" i="6"/>
  <c r="G4" i="5"/>
  <c r="B9" i="5" l="1"/>
  <c r="C9" i="5"/>
  <c r="C30" i="6"/>
  <c r="B4" i="5"/>
  <c r="B17" i="5" l="1"/>
  <c r="C4" i="6" s="1"/>
  <c r="C7" i="6" s="1"/>
  <c r="C14" i="6" s="1"/>
  <c r="F48" i="1" l="1"/>
  <c r="G47" i="1" s="1"/>
  <c r="C3" i="5"/>
  <c r="C17" i="5" s="1"/>
  <c r="B21" i="5"/>
  <c r="B23" i="5" s="1"/>
  <c r="C28" i="6"/>
  <c r="C29" i="6" s="1"/>
  <c r="C31" i="6" s="1"/>
  <c r="B25" i="5"/>
  <c r="D4" i="6" l="1"/>
  <c r="D7" i="6" s="1"/>
  <c r="D14" i="6" s="1"/>
  <c r="D3" i="5"/>
  <c r="D17" i="5" s="1"/>
  <c r="G48" i="1"/>
  <c r="H47" i="1" s="1"/>
  <c r="C21" i="5"/>
  <c r="D28" i="6" l="1"/>
  <c r="D29" i="6" s="1"/>
  <c r="D31" i="6" s="1"/>
  <c r="C23" i="5"/>
  <c r="C25" i="5"/>
  <c r="H48" i="1" l="1"/>
  <c r="I47" i="1" s="1"/>
  <c r="E3" i="5"/>
  <c r="E17" i="5" s="1"/>
  <c r="E4" i="6"/>
  <c r="E7" i="6" s="1"/>
  <c r="E14" i="6" s="1"/>
  <c r="D21" i="5"/>
  <c r="E28" i="6" l="1"/>
  <c r="E29" i="6" s="1"/>
  <c r="E31" i="6" s="1"/>
  <c r="D25" i="5"/>
  <c r="D23" i="5"/>
  <c r="F3" i="5" l="1"/>
  <c r="F17" i="5" s="1"/>
  <c r="I48" i="1"/>
  <c r="J47" i="1" s="1"/>
  <c r="F4" i="6"/>
  <c r="F7" i="6" s="1"/>
  <c r="F14" i="6" s="1"/>
  <c r="E21" i="5"/>
  <c r="F28" i="6" l="1"/>
  <c r="F29" i="6" s="1"/>
  <c r="F31" i="6" s="1"/>
  <c r="E23" i="5"/>
  <c r="E25" i="5"/>
  <c r="G4" i="6" l="1"/>
  <c r="G7" i="6" s="1"/>
  <c r="G14" i="6" s="1"/>
  <c r="J48" i="1"/>
  <c r="K47" i="1" s="1"/>
  <c r="G3" i="5"/>
  <c r="G17" i="5" s="1"/>
  <c r="F21" i="5"/>
  <c r="G28" i="6" l="1"/>
  <c r="G29" i="6" s="1"/>
  <c r="G31" i="6" s="1"/>
  <c r="F25" i="5"/>
  <c r="F23" i="5"/>
  <c r="H4" i="6" l="1"/>
  <c r="H7" i="6" s="1"/>
  <c r="H14" i="6" s="1"/>
  <c r="K48" i="1"/>
  <c r="G21" i="5"/>
  <c r="H28" i="6" l="1"/>
  <c r="H29" i="6" s="1"/>
  <c r="H31" i="6" s="1"/>
  <c r="G25" i="5"/>
  <c r="G23" i="5"/>
</calcChain>
</file>

<file path=xl/sharedStrings.xml><?xml version="1.0" encoding="utf-8"?>
<sst xmlns="http://schemas.openxmlformats.org/spreadsheetml/2006/main" count="686" uniqueCount="392">
  <si>
    <t>Planning Variables</t>
  </si>
  <si>
    <t>Inflation Rate</t>
  </si>
  <si>
    <t>Income Statement</t>
  </si>
  <si>
    <t>Base year, Fall</t>
  </si>
  <si>
    <t>Instruction</t>
  </si>
  <si>
    <t>Plant Operations</t>
  </si>
  <si>
    <t>Fall to Fall New Student Rate Change</t>
  </si>
  <si>
    <t>Initial Faculty Count</t>
  </si>
  <si>
    <t>Initial Staff Count</t>
  </si>
  <si>
    <t>Initial Average Faculty Salary</t>
  </si>
  <si>
    <t>Faculty Benefit Rate</t>
  </si>
  <si>
    <t>Initial Average Staff Salary</t>
  </si>
  <si>
    <t>Staff Benefit Rate</t>
  </si>
  <si>
    <t>Initial Non-personnel</t>
  </si>
  <si>
    <t>Benefits</t>
  </si>
  <si>
    <t>Nonpersonnel</t>
  </si>
  <si>
    <t>Faculty Count</t>
  </si>
  <si>
    <t>Staff Count</t>
  </si>
  <si>
    <t>Average Salary, Faculty</t>
  </si>
  <si>
    <t>Average Salary, Staff</t>
  </si>
  <si>
    <t>Added Staff</t>
  </si>
  <si>
    <t>Inflation</t>
  </si>
  <si>
    <t>Total Expense</t>
  </si>
  <si>
    <t>Net Asset Change</t>
  </si>
  <si>
    <t>Growth of Incoming Class</t>
  </si>
  <si>
    <t>Above Inflation</t>
  </si>
  <si>
    <t>Tuition Rate Change</t>
  </si>
  <si>
    <t>Added Persons/Year</t>
  </si>
  <si>
    <t>Full-time Faculty Change</t>
  </si>
  <si>
    <t>Full-time Staff Change</t>
  </si>
  <si>
    <t>As % of Salaries</t>
  </si>
  <si>
    <t>Growth of % of Salaries</t>
  </si>
  <si>
    <t>Nonpersonnel Expense Rate Change</t>
  </si>
  <si>
    <t>Faculty</t>
  </si>
  <si>
    <t>% Change above Inflation</t>
  </si>
  <si>
    <t>Conversions</t>
  </si>
  <si>
    <t>Headcount                                                                              Semester</t>
  </si>
  <si>
    <t>Fa-Sp %</t>
  </si>
  <si>
    <t>Credit Loads</t>
  </si>
  <si>
    <t>Part-time</t>
  </si>
  <si>
    <t>Average</t>
  </si>
  <si>
    <t>Academic FTE</t>
  </si>
  <si>
    <t>Gross Tuition Revenue</t>
  </si>
  <si>
    <t>"What if" Variables</t>
  </si>
  <si>
    <t>Annual</t>
  </si>
  <si>
    <t>Annual Rate of Change</t>
  </si>
  <si>
    <t>% of Students on Scholarship</t>
  </si>
  <si>
    <t>Unfunded Scholarship Expense</t>
  </si>
  <si>
    <t>Growth of Gifts</t>
  </si>
  <si>
    <t>Growth of Miscellaneous Revenue</t>
  </si>
  <si>
    <t>Added Faculty Annually</t>
  </si>
  <si>
    <t>Full-Time</t>
  </si>
  <si>
    <t>Part-Time</t>
  </si>
  <si>
    <t>Full-time Benefit Rate</t>
  </si>
  <si>
    <t>Part-time Benefit Rate</t>
  </si>
  <si>
    <t>Part-time Faculty Change</t>
  </si>
  <si>
    <t>Part-time Staff Change</t>
  </si>
  <si>
    <t>Full-time Faculty Salary Rate Change</t>
  </si>
  <si>
    <t>Part-time Faculty Salary Rate Change</t>
  </si>
  <si>
    <t>Full-time Staff Salary Rate Change</t>
  </si>
  <si>
    <t>Part-time Staff Salary Rate Change</t>
  </si>
  <si>
    <t>Salary Expense</t>
  </si>
  <si>
    <t>Benefit Rate, % of Salaries</t>
  </si>
  <si>
    <t>Full-time Benefit Rate Change</t>
  </si>
  <si>
    <t>Part-time Benefit Rate Change</t>
  </si>
  <si>
    <t>Nonpersonnel "Bumps"</t>
  </si>
  <si>
    <t>Faculty "Bumps"</t>
  </si>
  <si>
    <t>Staff "Bumps"</t>
  </si>
  <si>
    <t>Gift "Bumps"</t>
  </si>
  <si>
    <t>New student growth:</t>
  </si>
  <si>
    <t>Grad</t>
  </si>
  <si>
    <t>FT Enrollment</t>
  </si>
  <si>
    <t>PT Enrollment</t>
  </si>
  <si>
    <t>DO Cum</t>
  </si>
  <si>
    <t>Grad Cum</t>
  </si>
  <si>
    <t>FT to Grad</t>
  </si>
  <si>
    <t>PT to Grad</t>
  </si>
  <si>
    <t>FT to PT end</t>
  </si>
  <si>
    <t>PT to FT end</t>
  </si>
  <si>
    <t>FT to DO end</t>
  </si>
  <si>
    <t>PT to DO end</t>
  </si>
  <si>
    <t>PT DO end</t>
  </si>
  <si>
    <t>FT DO end</t>
  </si>
  <si>
    <t>DI to FT end</t>
  </si>
  <si>
    <t>DI to PT end</t>
  </si>
  <si>
    <t>Grad Rate</t>
  </si>
  <si>
    <t>Semester</t>
  </si>
  <si>
    <t xml:space="preserve"> </t>
  </si>
  <si>
    <t>Semester After 1st Attend</t>
  </si>
  <si>
    <t>FT</t>
  </si>
  <si>
    <t>PT</t>
  </si>
  <si>
    <t>Second semester</t>
  </si>
  <si>
    <t>Third semester</t>
  </si>
  <si>
    <t>Fourth semester</t>
  </si>
  <si>
    <t>Fifth semester</t>
  </si>
  <si>
    <t>Original Continuing Students</t>
  </si>
  <si>
    <t>Sixth semester</t>
  </si>
  <si>
    <t>Seventh semester</t>
  </si>
  <si>
    <t>Eighth semester</t>
  </si>
  <si>
    <t>Ninth semester</t>
  </si>
  <si>
    <t>Tenth semester</t>
  </si>
  <si>
    <t>Eleventh semester</t>
  </si>
  <si>
    <t>Remaining from original continuing</t>
  </si>
  <si>
    <t>2-11 semesters</t>
  </si>
  <si>
    <t>3-11 semesters</t>
  </si>
  <si>
    <t>4-11 semesters</t>
  </si>
  <si>
    <t>5-11 semesters</t>
  </si>
  <si>
    <t>6-11 semesters</t>
  </si>
  <si>
    <t>7-11 semesters</t>
  </si>
  <si>
    <t>8-11 semesters</t>
  </si>
  <si>
    <t>9-11 semesters</t>
  </si>
  <si>
    <t>10-11 semesters</t>
  </si>
  <si>
    <t>Twelth semester</t>
  </si>
  <si>
    <t>11-12  semester</t>
  </si>
  <si>
    <t>12th semester</t>
  </si>
  <si>
    <t>Original continuing</t>
  </si>
  <si>
    <t>Total Continuing</t>
  </si>
  <si>
    <t>Previous recurring new</t>
  </si>
  <si>
    <t>Headcount students/Headcount faculty</t>
  </si>
  <si>
    <t>Headcount faculty</t>
  </si>
  <si>
    <t>Ave. PT Faculty FTE</t>
  </si>
  <si>
    <t>FTE Teaching Faculty</t>
  </si>
  <si>
    <t>Student academic FTE/Teaching faculty FTE</t>
  </si>
  <si>
    <t>Year ending</t>
  </si>
  <si>
    <t>Beginning cash</t>
  </si>
  <si>
    <t>Year beginning</t>
  </si>
  <si>
    <t>Depreciation and other non-cash charges</t>
  </si>
  <si>
    <t>Cash, beginning</t>
  </si>
  <si>
    <t>Cash, ending</t>
  </si>
  <si>
    <t>Investment rate of return</t>
  </si>
  <si>
    <t>Line of credit interest rate</t>
  </si>
  <si>
    <t>Average cash/investment position</t>
  </si>
  <si>
    <t>Line of credit interest expense</t>
  </si>
  <si>
    <t>(Includes line of credit interest from Cash tab)</t>
  </si>
  <si>
    <t>Annual, above Inflation</t>
  </si>
  <si>
    <t>Cash</t>
  </si>
  <si>
    <t>Accounts receivable</t>
  </si>
  <si>
    <t>% Revenues receivable</t>
  </si>
  <si>
    <t>Other current assets</t>
  </si>
  <si>
    <t>Total Current Assets</t>
  </si>
  <si>
    <t>% Expenses unpaid</t>
  </si>
  <si>
    <t>Ending cash</t>
  </si>
  <si>
    <t>New borrowing</t>
  </si>
  <si>
    <t>Repayment</t>
  </si>
  <si>
    <t>Beginning long-term debt</t>
  </si>
  <si>
    <t>Ending long-term debt</t>
  </si>
  <si>
    <t>Bond repayment</t>
  </si>
  <si>
    <t>Increase to fixed assets</t>
  </si>
  <si>
    <t>Change in net assets, Balance Sheet</t>
  </si>
  <si>
    <t>Change in net assets, Income Statement</t>
  </si>
  <si>
    <t>Error</t>
  </si>
  <si>
    <t>Further Inputs</t>
  </si>
  <si>
    <t>Balance Sheet</t>
  </si>
  <si>
    <t>One-time added gift in 2023</t>
  </si>
  <si>
    <t>DI Cum to FT end</t>
  </si>
  <si>
    <t>DI Cum to PT end</t>
  </si>
  <si>
    <t>Year End:</t>
  </si>
  <si>
    <t>Independent operatons</t>
  </si>
  <si>
    <t>Total Assets (A02)</t>
  </si>
  <si>
    <t>Total Liabilities (A03)</t>
  </si>
  <si>
    <t>Land and land improvements (A11)</t>
  </si>
  <si>
    <t>Buildings (A12)</t>
  </si>
  <si>
    <t>Equipment, including art and library collections (A13)</t>
  </si>
  <si>
    <t>Construction in progress (A15)</t>
  </si>
  <si>
    <t>Other (A16)</t>
  </si>
  <si>
    <t>Total plant, property, and equipment (A17)</t>
  </si>
  <si>
    <t>Accumulated depreciation (A18)</t>
  </si>
  <si>
    <t>Property, Plant, and Equipment (net A19)</t>
  </si>
  <si>
    <t>Plant Expense Allocation</t>
  </si>
  <si>
    <t>Research</t>
  </si>
  <si>
    <t>Public service</t>
  </si>
  <si>
    <t>Student services</t>
  </si>
  <si>
    <t>Academic support</t>
  </si>
  <si>
    <t>Institutional support</t>
  </si>
  <si>
    <t>Auxiliary enterprises</t>
  </si>
  <si>
    <t>Hospital services</t>
  </si>
  <si>
    <t>Staff</t>
  </si>
  <si>
    <t>Total expenses and deductions</t>
  </si>
  <si>
    <t>Sqare Ft.</t>
  </si>
  <si>
    <t>Other</t>
  </si>
  <si>
    <t>Total allocated</t>
  </si>
  <si>
    <t>Plant Expense to be Allocated by:</t>
  </si>
  <si>
    <t>Total Expense before plant allocation</t>
  </si>
  <si>
    <t>Pell grants (C01)</t>
  </si>
  <si>
    <t>Other federal grants (C02)</t>
  </si>
  <si>
    <t>Grants by state government (C03)</t>
  </si>
  <si>
    <t>Grants by local government (C04)</t>
  </si>
  <si>
    <t>Institutional grants (restricted C05)</t>
  </si>
  <si>
    <t>Institutional grants (unrestricted C06)</t>
  </si>
  <si>
    <t>Total revenue that funds scholarships and fellowships (C07)</t>
  </si>
  <si>
    <t>Discounts &amp; allowances applied to tuition and fees (C08)</t>
  </si>
  <si>
    <t>Total discounts and allowances (C10)</t>
  </si>
  <si>
    <t>Growth</t>
  </si>
  <si>
    <t>Scholarships &amp; Fellowships</t>
  </si>
  <si>
    <t>Tuition revenue net of discounts &amp; allow.</t>
  </si>
  <si>
    <t>Annual  tuition revenue</t>
  </si>
  <si>
    <t>Federal appropriations</t>
  </si>
  <si>
    <t>State appropriations</t>
  </si>
  <si>
    <t>Local appropriations</t>
  </si>
  <si>
    <t>Federal grants and contracts</t>
  </si>
  <si>
    <t>State grants and contracts</t>
  </si>
  <si>
    <t>Local grants and contracts</t>
  </si>
  <si>
    <t>Growth %</t>
  </si>
  <si>
    <t>Private gifts</t>
  </si>
  <si>
    <t>Private grants and contracts</t>
  </si>
  <si>
    <t>Investment returns</t>
  </si>
  <si>
    <t>Sales and services of educational activities</t>
  </si>
  <si>
    <t>Sales and services of auxiliary enterprises (net)</t>
  </si>
  <si>
    <t>Hospital revenue</t>
  </si>
  <si>
    <t>Independent operations revenue</t>
  </si>
  <si>
    <t>Other revenue</t>
  </si>
  <si>
    <t>Residence hall capacity "bumps"</t>
  </si>
  <si>
    <t>Residence hall capacity</t>
  </si>
  <si>
    <t>% Capacity residence halls filled</t>
  </si>
  <si>
    <t>Gross auxiliary revenues</t>
  </si>
  <si>
    <t>Other revenue "Bumps"</t>
  </si>
  <si>
    <t>Bumps:</t>
  </si>
  <si>
    <t>Auxiliary rev. discounts &amp; allowances</t>
  </si>
  <si>
    <t>Discounts &amp; allowances applied to auxiliaries revenue (C09)</t>
  </si>
  <si>
    <t>Tuition analysis</t>
  </si>
  <si>
    <t>Unrestricted tuition discount %</t>
  </si>
  <si>
    <t>Out of pocket $/FTE-paying student</t>
  </si>
  <si>
    <t>Perceived discount</t>
  </si>
  <si>
    <t>Revenues</t>
  </si>
  <si>
    <t>Long-term Investments (including endowment)</t>
  </si>
  <si>
    <t>Market value</t>
  </si>
  <si>
    <t>Estimated total return %</t>
  </si>
  <si>
    <t>Estimated market total return %</t>
  </si>
  <si>
    <t>Payout rate %</t>
  </si>
  <si>
    <t>Of 3-yr. rolling mkt. ave.</t>
  </si>
  <si>
    <t>Total return</t>
  </si>
  <si>
    <t xml:space="preserve">Payout </t>
  </si>
  <si>
    <t>Unrestricted earnings</t>
  </si>
  <si>
    <t>Unrestricted payout</t>
  </si>
  <si>
    <t>Change in long-term investments</t>
  </si>
  <si>
    <t>Assumed life</t>
  </si>
  <si>
    <t>Additions to equipment</t>
  </si>
  <si>
    <t>Additions to other</t>
  </si>
  <si>
    <t>(Includes depreciation from Plant tab)</t>
  </si>
  <si>
    <t>Year end:</t>
  </si>
  <si>
    <t>Long-term investment earnings</t>
  </si>
  <si>
    <t>Total investment earnings</t>
  </si>
  <si>
    <t>Unrestricted grants and contract revenues</t>
  </si>
  <si>
    <t>Endowment support</t>
  </si>
  <si>
    <t>Total Operating Revenue</t>
  </si>
  <si>
    <t>Unrestricted Operating</t>
  </si>
  <si>
    <t>Change in accounts receivable</t>
  </si>
  <si>
    <t>Change in other current assets</t>
  </si>
  <si>
    <t>Change in net assets</t>
  </si>
  <si>
    <t>Input value for short-term invest earnings</t>
  </si>
  <si>
    <t>Input value for line of credit interest exp.</t>
  </si>
  <si>
    <t>1st semester full-time student drop out rate</t>
  </si>
  <si>
    <t>plus inflation</t>
  </si>
  <si>
    <t>Annual Rate (no inflation)</t>
  </si>
  <si>
    <r>
      <t xml:space="preserve"> </t>
    </r>
    <r>
      <rPr>
        <b/>
        <u/>
        <sz val="11"/>
        <color theme="1"/>
        <rFont val="Calibri"/>
        <family val="2"/>
        <scheme val="minor"/>
      </rPr>
      <t>Revenue</t>
    </r>
    <r>
      <rPr>
        <b/>
        <sz val="11"/>
        <color theme="1"/>
        <rFont val="Calibri"/>
        <family val="2"/>
        <scheme val="minor"/>
      </rPr>
      <t xml:space="preserve">     Year Ending:</t>
    </r>
  </si>
  <si>
    <t xml:space="preserve"> Unrestricted Expenses</t>
  </si>
  <si>
    <t>Auxiliary Income</t>
  </si>
  <si>
    <t>Average dorm &amp; dining revenue/resident/yr.</t>
  </si>
  <si>
    <t>Total unrestricted grants, discounts and allowanaces</t>
  </si>
  <si>
    <t>Actual average annual academic FTE</t>
  </si>
  <si>
    <t># of FTE-paying students (Gross tuition/annual FT tuition rate)</t>
  </si>
  <si>
    <t>Actual annual FT tuition rate</t>
  </si>
  <si>
    <t>Change in short-term liabilities</t>
  </si>
  <si>
    <t>Proportion of market value investments unrestricted</t>
  </si>
  <si>
    <t>Unrestricted market value</t>
  </si>
  <si>
    <t>Endowment Market Value</t>
  </si>
  <si>
    <t>Faculty heads</t>
  </si>
  <si>
    <t>Student heads</t>
  </si>
  <si>
    <t>Student FTE</t>
  </si>
  <si>
    <t>Historical Endowment Market Values</t>
  </si>
  <si>
    <r>
      <rPr>
        <b/>
        <u/>
        <sz val="11"/>
        <color theme="1"/>
        <rFont val="Calibri"/>
        <family val="2"/>
        <scheme val="minor"/>
      </rPr>
      <t>Long-term debt</t>
    </r>
    <r>
      <rPr>
        <sz val="11"/>
        <color theme="1"/>
        <rFont val="Calibri"/>
        <family val="2"/>
        <scheme val="minor"/>
      </rPr>
      <t xml:space="preserve">                           Year End:</t>
    </r>
  </si>
  <si>
    <r>
      <rPr>
        <b/>
        <u/>
        <sz val="11"/>
        <color theme="1"/>
        <rFont val="Calibri"/>
        <family val="2"/>
        <scheme val="minor"/>
      </rPr>
      <t>Values &amp; Depreciation</t>
    </r>
    <r>
      <rPr>
        <b/>
        <sz val="11"/>
        <color theme="1"/>
        <rFont val="Calibri"/>
        <family val="2"/>
        <scheme val="minor"/>
      </rPr>
      <t xml:space="preserve">                       </t>
    </r>
    <r>
      <rPr>
        <sz val="11"/>
        <color theme="1"/>
        <rFont val="Calibri"/>
        <family val="2"/>
        <scheme val="minor"/>
      </rPr>
      <t xml:space="preserve"> Year end</t>
    </r>
    <r>
      <rPr>
        <b/>
        <sz val="11"/>
        <color theme="1"/>
        <rFont val="Calibri"/>
        <family val="2"/>
        <scheme val="minor"/>
      </rPr>
      <t>:</t>
    </r>
  </si>
  <si>
    <t>Sum</t>
  </si>
  <si>
    <t>Double check:</t>
  </si>
  <si>
    <t>Plant expense from Staffing:</t>
  </si>
  <si>
    <t>Short-term investment earnings</t>
  </si>
  <si>
    <t>Other functional expenses and deductions</t>
  </si>
  <si>
    <t>2022 Exp.</t>
  </si>
  <si>
    <t>Old Talc Mine State College</t>
  </si>
  <si>
    <t>Tuition and fees (net B01)</t>
  </si>
  <si>
    <t>Federal grants and contracts (B02)</t>
  </si>
  <si>
    <t>State grants and contracts (B03)</t>
  </si>
  <si>
    <t>Local grants and contracts (B04)</t>
  </si>
  <si>
    <t>Private gifts (B04a)</t>
  </si>
  <si>
    <t>Private grants and contracts (B04b)</t>
  </si>
  <si>
    <t>Investment income, net of endowment support</t>
  </si>
  <si>
    <t>Nonoperating gifts &amp; contributions from affiliated orgs. (B16)</t>
  </si>
  <si>
    <t>Unrestricted Nonoperating Revenues</t>
  </si>
  <si>
    <t>Federal nonopearting grants</t>
  </si>
  <si>
    <t>State nonoperating grants</t>
  </si>
  <si>
    <t>Local nonoperating grants</t>
  </si>
  <si>
    <t>Nonop gifts &amp; contribs from affiliated orgs.</t>
  </si>
  <si>
    <t>Other nonoperating revenues</t>
  </si>
  <si>
    <t>Sales and services of auxiliary enterprises (net B05)</t>
  </si>
  <si>
    <t>Sales and services of hospitals (B06)</t>
  </si>
  <si>
    <t>Sales and services of educational activities (B26)</t>
  </si>
  <si>
    <t>Independent operations revenue (B07)</t>
  </si>
  <si>
    <t>Other sources-operating (B08)</t>
  </si>
  <si>
    <t>Federal appropriations (B10)</t>
  </si>
  <si>
    <t>State appropriations (B11)</t>
  </si>
  <si>
    <t>Local appropriations (B12)</t>
  </si>
  <si>
    <t>Federal nonopearting grants (B13)</t>
  </si>
  <si>
    <t>State nonoperating grants (B14)</t>
  </si>
  <si>
    <t>Local nonoperating grants (B15)</t>
  </si>
  <si>
    <t>Other nonoperating revenues (B19)</t>
  </si>
  <si>
    <t>Total nonoperating revenues (B19)</t>
  </si>
  <si>
    <t>Total operating and nonoperating revenues (B27)</t>
  </si>
  <si>
    <t>Instruction (C01)</t>
  </si>
  <si>
    <t>Research (C02)</t>
  </si>
  <si>
    <t>Public service (C03)</t>
  </si>
  <si>
    <t>Academic support (C05)</t>
  </si>
  <si>
    <t>Student services (C06)</t>
  </si>
  <si>
    <t>Institutional support (C07)</t>
  </si>
  <si>
    <t>Scholarships and fellowships exp. (net C10)</t>
  </si>
  <si>
    <t>Auxiliary enterprises (C11)</t>
  </si>
  <si>
    <t>Hospital services (C12)</t>
  </si>
  <si>
    <t>Independent operatons (C13)</t>
  </si>
  <si>
    <t>Other functional expenses and deductons (C14)</t>
  </si>
  <si>
    <t>Total expenses and deductions (C19)</t>
  </si>
  <si>
    <t>Long-term investments</t>
  </si>
  <si>
    <t>Depreciable capital assets, net of depreciation (A31)</t>
  </si>
  <si>
    <t>Other noncurrent assets (A04)</t>
  </si>
  <si>
    <t>Total noncurrent assets</t>
  </si>
  <si>
    <t>Deferred outflows of resources (A19)</t>
  </si>
  <si>
    <t>Other noncurrent assets</t>
  </si>
  <si>
    <t>Deferred outflows of resources</t>
  </si>
  <si>
    <t>Other noncurrent liabilities</t>
  </si>
  <si>
    <t>Deferred inflows of resources</t>
  </si>
  <si>
    <t>Liabilities</t>
  </si>
  <si>
    <t>Assets</t>
  </si>
  <si>
    <t>Long-term debt, current portion (A07)</t>
  </si>
  <si>
    <t>Other current liabilities (A08)</t>
  </si>
  <si>
    <t>% growth of other current assets</t>
  </si>
  <si>
    <t>Total current liabilities (A09)</t>
  </si>
  <si>
    <t>Long-term debt (A10)</t>
  </si>
  <si>
    <t>Other noncurrent liabilities (A11)</t>
  </si>
  <si>
    <t>Total noncurrent liabilities (A12)</t>
  </si>
  <si>
    <t>Deferred inflows of resources (A20)</t>
  </si>
  <si>
    <t>Net position (A18)</t>
  </si>
  <si>
    <t>Change in other non-current assets</t>
  </si>
  <si>
    <t>Change in deferred inflows of resources</t>
  </si>
  <si>
    <t>Change in other noncurrent liabilities</t>
  </si>
  <si>
    <t>Change in deferred outflows of resources</t>
  </si>
  <si>
    <t>Growth of state appropriations</t>
  </si>
  <si>
    <t>Growth Rates (no inflation added)</t>
  </si>
  <si>
    <t>Scholarships and fellowships expense</t>
  </si>
  <si>
    <t>Growth of Median Scholarship</t>
  </si>
  <si>
    <t>Growth of % of Students on Scholarship</t>
  </si>
  <si>
    <t>Annual, as % of tuition</t>
  </si>
  <si>
    <t>Year Ending:</t>
  </si>
  <si>
    <t>Fall Student FTE/Faculty FTE</t>
  </si>
  <si>
    <t>Fall Students (heads)/FT Faculty</t>
  </si>
  <si>
    <t>Fall Students (heads)/FT Staff</t>
  </si>
  <si>
    <t>FT Faculty/FT Staff</t>
  </si>
  <si>
    <t>Expenses/Student FTE</t>
  </si>
  <si>
    <t>Net Asset Change/Revenues</t>
  </si>
  <si>
    <t>Average, assumed numbers of new full-time students recurring in all previous new student cohorts</t>
  </si>
  <si>
    <t>Average, assumed numbers of new part-time students recurring in all previous new student cohorts</t>
  </si>
  <si>
    <t>Faculty FTE</t>
  </si>
  <si>
    <t>Year ending:</t>
  </si>
  <si>
    <t>Fall</t>
  </si>
  <si>
    <t>Spring</t>
  </si>
  <si>
    <t>New students, Full-time, fall</t>
  </si>
  <si>
    <t>New students, Full-time, spring</t>
  </si>
  <si>
    <t>Continuing students, Full-time, fall</t>
  </si>
  <si>
    <t>Continuing students, Full-time, spring</t>
  </si>
  <si>
    <t>New students, Part-time, fall</t>
  </si>
  <si>
    <t>New students, Part-time, spring</t>
  </si>
  <si>
    <t>Continuing students, Part-time, fall</t>
  </si>
  <si>
    <t>Continuing students, Part-time, spring</t>
  </si>
  <si>
    <t>Headcount Total, fall</t>
  </si>
  <si>
    <t>Headcount Total, spring</t>
  </si>
  <si>
    <t>Total, fall</t>
  </si>
  <si>
    <t>Total, spring</t>
  </si>
  <si>
    <t>Academic FTE, fall</t>
  </si>
  <si>
    <t>Academic FTE, spring</t>
  </si>
  <si>
    <t>Tuition Rates (average)/semester</t>
  </si>
  <si>
    <t>Full-time, per headcount, fall</t>
  </si>
  <si>
    <t>Full-time, per headcount, spring</t>
  </si>
  <si>
    <t>Part-time per credit, fall</t>
  </si>
  <si>
    <t>Part-time per credit, spring</t>
  </si>
  <si>
    <t>Full-time, fall</t>
  </si>
  <si>
    <t>Full-time, spring</t>
  </si>
  <si>
    <t>Part-time, fall</t>
  </si>
  <si>
    <t>Part-time, spring</t>
  </si>
  <si>
    <r>
      <t xml:space="preserve">Unrestricted Only       </t>
    </r>
    <r>
      <rPr>
        <b/>
        <sz val="11"/>
        <color theme="4" tint="0.79998168889431442"/>
        <rFont val="Calibri"/>
        <family val="2"/>
        <scheme val="minor"/>
      </rPr>
      <t xml:space="preserve">  .</t>
    </r>
  </si>
  <si>
    <t>Median Unfunded Scholarship, % of Tuition</t>
  </si>
  <si>
    <t>Full-time Students, fall</t>
  </si>
  <si>
    <t>Full-time Students, spring</t>
  </si>
  <si>
    <t>Part-time Students, fall</t>
  </si>
  <si>
    <t>Part-time Students, spring</t>
  </si>
  <si>
    <t>Proportion of Students on Scholarship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</si>
</sst>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_(* #,##0.0_);_(* \(#,##0.0\);_(* &quot;-&quot;?_);_(@_)"/>
    <numFmt numFmtId="168" formatCode="_(* #,##0_);_(* \(#,##0\);_(* &quot;-&quot;?_);_(@_)"/>
    <numFmt numFmtId="169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4" tint="0.7999816888943144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8">
    <xf numFmtId="0" fontId="0" fillId="0" borderId="0" xfId="0"/>
    <xf numFmtId="9" fontId="0" fillId="2" borderId="0" xfId="0" applyNumberFormat="1" applyFill="1"/>
    <xf numFmtId="164" fontId="0" fillId="3" borderId="2" xfId="1" applyNumberFormat="1" applyFont="1" applyFill="1" applyBorder="1"/>
    <xf numFmtId="0" fontId="0" fillId="3" borderId="2" xfId="0" applyFill="1" applyBorder="1"/>
    <xf numFmtId="164" fontId="0" fillId="4" borderId="0" xfId="1" applyNumberFormat="1" applyFont="1" applyFill="1"/>
    <xf numFmtId="164" fontId="0" fillId="4" borderId="1" xfId="1" applyNumberFormat="1" applyFont="1" applyFill="1" applyBorder="1"/>
    <xf numFmtId="164" fontId="0" fillId="4" borderId="0" xfId="0" applyNumberFormat="1" applyFill="1"/>
    <xf numFmtId="0" fontId="2" fillId="4" borderId="0" xfId="0" applyFont="1" applyFill="1" applyAlignment="1">
      <alignment horizontal="center"/>
    </xf>
    <xf numFmtId="0" fontId="0" fillId="5" borderId="0" xfId="0" applyFill="1"/>
    <xf numFmtId="0" fontId="2" fillId="5" borderId="0" xfId="0" applyFont="1" applyFill="1"/>
    <xf numFmtId="0" fontId="0" fillId="5" borderId="0" xfId="0" applyFill="1" applyAlignment="1">
      <alignment horizontal="right"/>
    </xf>
    <xf numFmtId="0" fontId="2" fillId="5" borderId="0" xfId="0" applyFont="1" applyFill="1" applyAlignment="1">
      <alignment horizontal="right"/>
    </xf>
    <xf numFmtId="0" fontId="2" fillId="5" borderId="0" xfId="0" applyFont="1" applyFill="1" applyAlignment="1">
      <alignment horizontal="center"/>
    </xf>
    <xf numFmtId="0" fontId="0" fillId="6" borderId="0" xfId="0" applyFill="1"/>
    <xf numFmtId="9" fontId="0" fillId="6" borderId="0" xfId="2" applyFont="1" applyFill="1"/>
    <xf numFmtId="9" fontId="0" fillId="4" borderId="0" xfId="2" applyFont="1" applyFill="1"/>
    <xf numFmtId="164" fontId="0" fillId="6" borderId="0" xfId="0" applyNumberFormat="1" applyFill="1"/>
    <xf numFmtId="9" fontId="0" fillId="4" borderId="0" xfId="0" applyNumberFormat="1" applyFill="1"/>
    <xf numFmtId="164" fontId="0" fillId="4" borderId="0" xfId="0" applyNumberFormat="1" applyFill="1" applyBorder="1"/>
    <xf numFmtId="164" fontId="0" fillId="4" borderId="1" xfId="0" applyNumberFormat="1" applyFill="1" applyBorder="1"/>
    <xf numFmtId="0" fontId="2" fillId="5" borderId="0" xfId="0" applyFont="1" applyFill="1" applyAlignment="1">
      <alignment horizontal="left"/>
    </xf>
    <xf numFmtId="0" fontId="2" fillId="5" borderId="0" xfId="0" applyFont="1" applyFill="1" applyAlignment="1">
      <alignment horizontal="center" wrapText="1"/>
    </xf>
    <xf numFmtId="164" fontId="0" fillId="4" borderId="0" xfId="1" applyNumberFormat="1" applyFont="1" applyFill="1" applyBorder="1"/>
    <xf numFmtId="164" fontId="0" fillId="6" borderId="0" xfId="1" applyNumberFormat="1" applyFont="1" applyFill="1" applyBorder="1"/>
    <xf numFmtId="9" fontId="0" fillId="6" borderId="0" xfId="2" applyFont="1" applyFill="1" applyBorder="1"/>
    <xf numFmtId="165" fontId="0" fillId="6" borderId="0" xfId="0" applyNumberFormat="1" applyFill="1"/>
    <xf numFmtId="164" fontId="0" fillId="3" borderId="2" xfId="0" applyNumberFormat="1" applyFill="1" applyBorder="1"/>
    <xf numFmtId="0" fontId="0" fillId="5" borderId="0" xfId="0" applyFill="1" applyBorder="1" applyAlignment="1">
      <alignment horizontal="right"/>
    </xf>
    <xf numFmtId="164" fontId="0" fillId="6" borderId="0" xfId="0" applyNumberFormat="1" applyFill="1" applyBorder="1"/>
    <xf numFmtId="0" fontId="0" fillId="6" borderId="0" xfId="0" applyFill="1" applyBorder="1"/>
    <xf numFmtId="0" fontId="0" fillId="0" borderId="0" xfId="0" applyBorder="1"/>
    <xf numFmtId="166" fontId="0" fillId="3" borderId="2" xfId="2" applyNumberFormat="1" applyFont="1" applyFill="1" applyBorder="1"/>
    <xf numFmtId="166" fontId="0" fillId="4" borderId="0" xfId="2" applyNumberFormat="1" applyFont="1" applyFill="1"/>
    <xf numFmtId="166" fontId="0" fillId="4" borderId="0" xfId="0" applyNumberFormat="1" applyFill="1"/>
    <xf numFmtId="164" fontId="0" fillId="4" borderId="0" xfId="2" applyNumberFormat="1" applyFont="1" applyFill="1" applyBorder="1"/>
    <xf numFmtId="0" fontId="2" fillId="6" borderId="0" xfId="0" applyFont="1" applyFill="1" applyAlignment="1">
      <alignment horizontal="center"/>
    </xf>
    <xf numFmtId="0" fontId="0" fillId="3" borderId="7" xfId="0" applyFill="1" applyBorder="1"/>
    <xf numFmtId="0" fontId="0" fillId="6" borderId="9" xfId="0" applyFill="1" applyBorder="1"/>
    <xf numFmtId="0" fontId="0" fillId="6" borderId="10" xfId="0" applyFill="1" applyBorder="1"/>
    <xf numFmtId="0" fontId="0" fillId="3" borderId="12" xfId="0" applyFill="1" applyBorder="1"/>
    <xf numFmtId="0" fontId="0" fillId="5" borderId="0" xfId="0" applyFont="1" applyFill="1" applyAlignment="1">
      <alignment horizontal="right"/>
    </xf>
    <xf numFmtId="0" fontId="2" fillId="5" borderId="9" xfId="0" applyFont="1" applyFill="1" applyBorder="1" applyAlignment="1">
      <alignment horizontal="center" wrapText="1"/>
    </xf>
    <xf numFmtId="0" fontId="2" fillId="5" borderId="0" xfId="0" applyFont="1" applyFill="1" applyBorder="1" applyAlignment="1">
      <alignment horizontal="center" wrapText="1"/>
    </xf>
    <xf numFmtId="0" fontId="2" fillId="5" borderId="13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/>
    </xf>
    <xf numFmtId="0" fontId="0" fillId="4" borderId="0" xfId="0" applyFill="1" applyBorder="1"/>
    <xf numFmtId="0" fontId="0" fillId="6" borderId="4" xfId="0" applyFill="1" applyBorder="1"/>
    <xf numFmtId="0" fontId="0" fillId="6" borderId="5" xfId="0" applyFill="1" applyBorder="1"/>
    <xf numFmtId="0" fontId="2" fillId="5" borderId="6" xfId="0" applyFont="1" applyFill="1" applyBorder="1" applyAlignment="1">
      <alignment horizontal="center"/>
    </xf>
    <xf numFmtId="0" fontId="0" fillId="4" borderId="9" xfId="0" applyFill="1" applyBorder="1"/>
    <xf numFmtId="0" fontId="0" fillId="2" borderId="13" xfId="0" applyFill="1" applyBorder="1"/>
    <xf numFmtId="0" fontId="0" fillId="3" borderId="8" xfId="0" applyFill="1" applyBorder="1"/>
    <xf numFmtId="0" fontId="2" fillId="6" borderId="9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2" fillId="6" borderId="13" xfId="0" applyFont="1" applyFill="1" applyBorder="1"/>
    <xf numFmtId="0" fontId="2" fillId="5" borderId="13" xfId="0" applyFont="1" applyFill="1" applyBorder="1"/>
    <xf numFmtId="0" fontId="0" fillId="6" borderId="13" xfId="0" applyFill="1" applyBorder="1"/>
    <xf numFmtId="0" fontId="0" fillId="6" borderId="14" xfId="0" applyFill="1" applyBorder="1"/>
    <xf numFmtId="43" fontId="0" fillId="6" borderId="5" xfId="1" applyFont="1" applyFill="1" applyBorder="1"/>
    <xf numFmtId="0" fontId="2" fillId="4" borderId="5" xfId="0" applyFont="1" applyFill="1" applyBorder="1"/>
    <xf numFmtId="164" fontId="0" fillId="6" borderId="0" xfId="1" applyNumberFormat="1" applyFont="1" applyFill="1"/>
    <xf numFmtId="164" fontId="0" fillId="6" borderId="0" xfId="1" quotePrefix="1" applyNumberFormat="1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0" fillId="6" borderId="6" xfId="0" applyFill="1" applyBorder="1"/>
    <xf numFmtId="0" fontId="2" fillId="5" borderId="9" xfId="0" applyFont="1" applyFill="1" applyBorder="1" applyAlignment="1">
      <alignment horizontal="right"/>
    </xf>
    <xf numFmtId="0" fontId="2" fillId="4" borderId="13" xfId="0" applyFont="1" applyFill="1" applyBorder="1" applyAlignment="1">
      <alignment horizontal="center"/>
    </xf>
    <xf numFmtId="164" fontId="0" fillId="4" borderId="13" xfId="1" applyNumberFormat="1" applyFont="1" applyFill="1" applyBorder="1"/>
    <xf numFmtId="164" fontId="0" fillId="4" borderId="15" xfId="1" applyNumberFormat="1" applyFont="1" applyFill="1" applyBorder="1"/>
    <xf numFmtId="164" fontId="0" fillId="4" borderId="13" xfId="0" applyNumberFormat="1" applyFill="1" applyBorder="1"/>
    <xf numFmtId="0" fontId="3" fillId="5" borderId="9" xfId="0" applyFont="1" applyFill="1" applyBorder="1" applyAlignment="1">
      <alignment horizontal="right"/>
    </xf>
    <xf numFmtId="0" fontId="2" fillId="5" borderId="10" xfId="0" applyFont="1" applyFill="1" applyBorder="1" applyAlignment="1">
      <alignment horizontal="center"/>
    </xf>
    <xf numFmtId="164" fontId="0" fillId="4" borderId="11" xfId="0" applyNumberFormat="1" applyFill="1" applyBorder="1"/>
    <xf numFmtId="164" fontId="0" fillId="4" borderId="14" xfId="0" applyNumberFormat="1" applyFill="1" applyBorder="1"/>
    <xf numFmtId="0" fontId="2" fillId="4" borderId="0" xfId="0" applyFont="1" applyFill="1" applyAlignment="1">
      <alignment horizontal="right"/>
    </xf>
    <xf numFmtId="0" fontId="2" fillId="5" borderId="5" xfId="0" applyFont="1" applyFill="1" applyBorder="1" applyAlignment="1">
      <alignment horizontal="center"/>
    </xf>
    <xf numFmtId="164" fontId="0" fillId="5" borderId="0" xfId="0" applyNumberFormat="1" applyFill="1"/>
    <xf numFmtId="0" fontId="2" fillId="6" borderId="0" xfId="0" applyFont="1" applyFill="1"/>
    <xf numFmtId="0" fontId="0" fillId="5" borderId="5" xfId="0" applyFill="1" applyBorder="1"/>
    <xf numFmtId="0" fontId="0" fillId="5" borderId="4" xfId="0" applyFill="1" applyBorder="1"/>
    <xf numFmtId="0" fontId="2" fillId="6" borderId="13" xfId="0" applyFont="1" applyFill="1" applyBorder="1" applyAlignment="1">
      <alignment horizontal="left"/>
    </xf>
    <xf numFmtId="0" fontId="0" fillId="6" borderId="4" xfId="0" applyFill="1" applyBorder="1" applyAlignment="1"/>
    <xf numFmtId="0" fontId="0" fillId="6" borderId="5" xfId="0" applyFill="1" applyBorder="1" applyAlignment="1"/>
    <xf numFmtId="0" fontId="0" fillId="6" borderId="6" xfId="0" applyFill="1" applyBorder="1" applyAlignment="1"/>
    <xf numFmtId="0" fontId="0" fillId="6" borderId="0" xfId="0" applyFill="1" applyAlignment="1">
      <alignment horizontal="right"/>
    </xf>
    <xf numFmtId="0" fontId="0" fillId="3" borderId="16" xfId="0" applyFill="1" applyBorder="1"/>
    <xf numFmtId="0" fontId="2" fillId="6" borderId="6" xfId="0" applyFont="1" applyFill="1" applyBorder="1" applyAlignment="1">
      <alignment horizontal="center"/>
    </xf>
    <xf numFmtId="164" fontId="0" fillId="4" borderId="9" xfId="1" applyNumberFormat="1" applyFont="1" applyFill="1" applyBorder="1"/>
    <xf numFmtId="164" fontId="0" fillId="4" borderId="10" xfId="1" applyNumberFormat="1" applyFont="1" applyFill="1" applyBorder="1"/>
    <xf numFmtId="164" fontId="0" fillId="4" borderId="11" xfId="1" applyNumberFormat="1" applyFont="1" applyFill="1" applyBorder="1"/>
    <xf numFmtId="164" fontId="2" fillId="5" borderId="0" xfId="0" applyNumberFormat="1" applyFont="1" applyFill="1" applyAlignment="1">
      <alignment horizontal="left"/>
    </xf>
    <xf numFmtId="0" fontId="0" fillId="4" borderId="0" xfId="0" applyFill="1"/>
    <xf numFmtId="166" fontId="0" fillId="6" borderId="0" xfId="2" applyNumberFormat="1" applyFont="1" applyFill="1"/>
    <xf numFmtId="164" fontId="0" fillId="2" borderId="0" xfId="1" applyNumberFormat="1" applyFont="1" applyFill="1" applyBorder="1"/>
    <xf numFmtId="0" fontId="0" fillId="0" borderId="0" xfId="0" applyAlignment="1">
      <alignment horizontal="right"/>
    </xf>
    <xf numFmtId="0" fontId="0" fillId="7" borderId="0" xfId="0" applyFill="1"/>
    <xf numFmtId="0" fontId="2" fillId="7" borderId="0" xfId="0" applyFont="1" applyFill="1" applyAlignment="1">
      <alignment horizontal="left"/>
    </xf>
    <xf numFmtId="43" fontId="0" fillId="4" borderId="0" xfId="0" applyNumberFormat="1" applyFill="1"/>
    <xf numFmtId="164" fontId="2" fillId="5" borderId="0" xfId="1" applyNumberFormat="1" applyFont="1" applyFill="1" applyBorder="1" applyAlignment="1">
      <alignment horizontal="center"/>
    </xf>
    <xf numFmtId="0" fontId="4" fillId="4" borderId="0" xfId="0" applyFont="1" applyFill="1" applyAlignment="1">
      <alignment horizontal="right"/>
    </xf>
    <xf numFmtId="0" fontId="2" fillId="6" borderId="0" xfId="0" applyFont="1" applyFill="1" applyAlignment="1">
      <alignment horizontal="right"/>
    </xf>
    <xf numFmtId="166" fontId="0" fillId="6" borderId="0" xfId="0" applyNumberFormat="1" applyFill="1"/>
    <xf numFmtId="0" fontId="2" fillId="5" borderId="5" xfId="0" applyFont="1" applyFill="1" applyBorder="1"/>
    <xf numFmtId="0" fontId="2" fillId="5" borderId="0" xfId="0" applyFont="1" applyFill="1" applyBorder="1" applyAlignment="1">
      <alignment horizontal="center"/>
    </xf>
    <xf numFmtId="0" fontId="2" fillId="5" borderId="0" xfId="0" applyFont="1" applyFill="1" applyBorder="1"/>
    <xf numFmtId="164" fontId="0" fillId="0" borderId="0" xfId="1" applyNumberFormat="1" applyFont="1"/>
    <xf numFmtId="0" fontId="0" fillId="5" borderId="1" xfId="0" applyFill="1" applyBorder="1" applyAlignment="1">
      <alignment horizontal="center"/>
    </xf>
    <xf numFmtId="0" fontId="0" fillId="6" borderId="0" xfId="0" applyFill="1" applyAlignment="1">
      <alignment horizontal="center"/>
    </xf>
    <xf numFmtId="164" fontId="0" fillId="4" borderId="5" xfId="0" applyNumberFormat="1" applyFill="1" applyBorder="1"/>
    <xf numFmtId="164" fontId="0" fillId="4" borderId="6" xfId="0" applyNumberFormat="1" applyFill="1" applyBorder="1"/>
    <xf numFmtId="164" fontId="1" fillId="3" borderId="2" xfId="1" applyNumberFormat="1" applyFont="1" applyFill="1" applyBorder="1" applyAlignment="1">
      <alignment horizontal="right"/>
    </xf>
    <xf numFmtId="164" fontId="5" fillId="8" borderId="0" xfId="0" applyNumberFormat="1" applyFont="1" applyFill="1"/>
    <xf numFmtId="0" fontId="2" fillId="5" borderId="0" xfId="0" applyFont="1" applyFill="1" applyBorder="1" applyAlignment="1">
      <alignment horizontal="right"/>
    </xf>
    <xf numFmtId="164" fontId="5" fillId="6" borderId="0" xfId="0" applyNumberFormat="1" applyFont="1" applyFill="1"/>
    <xf numFmtId="164" fontId="2" fillId="4" borderId="17" xfId="0" applyNumberFormat="1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164" fontId="1" fillId="4" borderId="0" xfId="1" applyNumberFormat="1" applyFont="1" applyFill="1" applyBorder="1" applyAlignment="1">
      <alignment horizontal="right"/>
    </xf>
    <xf numFmtId="164" fontId="1" fillId="4" borderId="13" xfId="1" applyNumberFormat="1" applyFont="1" applyFill="1" applyBorder="1" applyAlignment="1">
      <alignment horizontal="right"/>
    </xf>
    <xf numFmtId="164" fontId="1" fillId="6" borderId="0" xfId="1" applyNumberFormat="1" applyFont="1" applyFill="1" applyBorder="1" applyAlignment="1">
      <alignment horizontal="right"/>
    </xf>
    <xf numFmtId="164" fontId="0" fillId="6" borderId="13" xfId="1" applyNumberFormat="1" applyFont="1" applyFill="1" applyBorder="1"/>
    <xf numFmtId="164" fontId="2" fillId="4" borderId="0" xfId="1" applyNumberFormat="1" applyFont="1" applyFill="1" applyBorder="1" applyAlignment="1">
      <alignment horizontal="right"/>
    </xf>
    <xf numFmtId="164" fontId="2" fillId="4" borderId="13" xfId="1" applyNumberFormat="1" applyFont="1" applyFill="1" applyBorder="1" applyAlignment="1">
      <alignment horizontal="right"/>
    </xf>
    <xf numFmtId="0" fontId="2" fillId="6" borderId="0" xfId="0" applyFont="1" applyFill="1" applyBorder="1" applyAlignment="1">
      <alignment horizontal="right"/>
    </xf>
    <xf numFmtId="164" fontId="2" fillId="4" borderId="0" xfId="0" applyNumberFormat="1" applyFont="1" applyFill="1" applyBorder="1" applyAlignment="1">
      <alignment horizontal="right"/>
    </xf>
    <xf numFmtId="0" fontId="2" fillId="5" borderId="10" xfId="0" applyFont="1" applyFill="1" applyBorder="1" applyAlignment="1">
      <alignment horizontal="right"/>
    </xf>
    <xf numFmtId="0" fontId="2" fillId="6" borderId="11" xfId="0" applyFont="1" applyFill="1" applyBorder="1" applyAlignment="1">
      <alignment horizontal="right"/>
    </xf>
    <xf numFmtId="164" fontId="0" fillId="2" borderId="2" xfId="1" applyNumberFormat="1" applyFont="1" applyFill="1" applyBorder="1"/>
    <xf numFmtId="164" fontId="0" fillId="4" borderId="2" xfId="1" applyNumberFormat="1" applyFont="1" applyFill="1" applyBorder="1"/>
    <xf numFmtId="0" fontId="0" fillId="5" borderId="0" xfId="0" applyFill="1" applyAlignment="1">
      <alignment horizontal="center"/>
    </xf>
    <xf numFmtId="0" fontId="0" fillId="5" borderId="9" xfId="0" applyFont="1" applyFill="1" applyBorder="1" applyAlignment="1">
      <alignment horizontal="right"/>
    </xf>
    <xf numFmtId="0" fontId="6" fillId="5" borderId="0" xfId="0" applyFont="1" applyFill="1" applyAlignment="1">
      <alignment horizontal="right"/>
    </xf>
    <xf numFmtId="0" fontId="2" fillId="4" borderId="9" xfId="0" applyFont="1" applyFill="1" applyBorder="1" applyAlignment="1">
      <alignment horizontal="right"/>
    </xf>
    <xf numFmtId="166" fontId="0" fillId="3" borderId="2" xfId="2" applyNumberFormat="1" applyFont="1" applyFill="1" applyBorder="1" applyAlignment="1">
      <alignment horizontal="right"/>
    </xf>
    <xf numFmtId="166" fontId="0" fillId="2" borderId="0" xfId="0" applyNumberFormat="1" applyFill="1" applyAlignment="1">
      <alignment horizontal="right"/>
    </xf>
    <xf numFmtId="164" fontId="0" fillId="4" borderId="18" xfId="1" applyNumberFormat="1" applyFont="1" applyFill="1" applyBorder="1"/>
    <xf numFmtId="0" fontId="2" fillId="4" borderId="1" xfId="2" applyNumberFormat="1" applyFont="1" applyFill="1" applyBorder="1" applyAlignment="1">
      <alignment horizontal="center"/>
    </xf>
    <xf numFmtId="166" fontId="0" fillId="3" borderId="2" xfId="2" quotePrefix="1" applyNumberFormat="1" applyFont="1" applyFill="1" applyBorder="1" applyAlignment="1">
      <alignment horizontal="center"/>
    </xf>
    <xf numFmtId="166" fontId="0" fillId="4" borderId="2" xfId="2" quotePrefix="1" applyNumberFormat="1" applyFont="1" applyFill="1" applyBorder="1" applyAlignment="1">
      <alignment horizontal="center"/>
    </xf>
    <xf numFmtId="164" fontId="2" fillId="4" borderId="0" xfId="1" applyNumberFormat="1" applyFont="1" applyFill="1" applyAlignment="1">
      <alignment horizontal="center"/>
    </xf>
    <xf numFmtId="166" fontId="0" fillId="3" borderId="3" xfId="2" applyNumberFormat="1" applyFont="1" applyFill="1" applyBorder="1"/>
    <xf numFmtId="168" fontId="0" fillId="4" borderId="0" xfId="0" applyNumberFormat="1" applyFill="1"/>
    <xf numFmtId="164" fontId="0" fillId="6" borderId="13" xfId="0" applyNumberFormat="1" applyFill="1" applyBorder="1"/>
    <xf numFmtId="0" fontId="3" fillId="5" borderId="10" xfId="0" applyFont="1" applyFill="1" applyBorder="1" applyAlignment="1">
      <alignment horizontal="center"/>
    </xf>
    <xf numFmtId="164" fontId="2" fillId="5" borderId="0" xfId="0" applyNumberFormat="1" applyFont="1" applyFill="1" applyAlignment="1">
      <alignment horizontal="center"/>
    </xf>
    <xf numFmtId="166" fontId="0" fillId="2" borderId="0" xfId="2" applyNumberFormat="1" applyFont="1" applyFill="1"/>
    <xf numFmtId="168" fontId="0" fillId="3" borderId="2" xfId="0" applyNumberFormat="1" applyFill="1" applyBorder="1"/>
    <xf numFmtId="167" fontId="0" fillId="4" borderId="0" xfId="0" applyNumberFormat="1" applyFill="1" applyBorder="1"/>
    <xf numFmtId="167" fontId="0" fillId="4" borderId="1" xfId="0" applyNumberFormat="1" applyFill="1" applyBorder="1"/>
    <xf numFmtId="0" fontId="0" fillId="4" borderId="1" xfId="0" applyFill="1" applyBorder="1" applyAlignment="1">
      <alignment horizontal="center"/>
    </xf>
    <xf numFmtId="164" fontId="0" fillId="3" borderId="19" xfId="1" applyNumberFormat="1" applyFont="1" applyFill="1" applyBorder="1"/>
    <xf numFmtId="0" fontId="0" fillId="4" borderId="0" xfId="0" applyFill="1" applyAlignment="1">
      <alignment horizontal="right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6" fontId="0" fillId="3" borderId="19" xfId="2" applyNumberFormat="1" applyFont="1" applyFill="1" applyBorder="1"/>
    <xf numFmtId="0" fontId="2" fillId="4" borderId="15" xfId="0" applyFont="1" applyFill="1" applyBorder="1" applyAlignment="1">
      <alignment horizontal="center"/>
    </xf>
    <xf numFmtId="0" fontId="0" fillId="3" borderId="19" xfId="0" applyFill="1" applyBorder="1"/>
    <xf numFmtId="0" fontId="2" fillId="4" borderId="2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0" fillId="6" borderId="23" xfId="0" applyFill="1" applyBorder="1" applyAlignment="1"/>
    <xf numFmtId="0" fontId="2" fillId="5" borderId="24" xfId="0" applyFont="1" applyFill="1" applyBorder="1" applyAlignment="1">
      <alignment horizontal="center" wrapText="1"/>
    </xf>
    <xf numFmtId="164" fontId="0" fillId="3" borderId="25" xfId="1" applyNumberFormat="1" applyFont="1" applyFill="1" applyBorder="1"/>
    <xf numFmtId="164" fontId="0" fillId="3" borderId="26" xfId="1" applyNumberFormat="1" applyFont="1" applyFill="1" applyBorder="1"/>
    <xf numFmtId="0" fontId="2" fillId="4" borderId="27" xfId="0" applyFont="1" applyFill="1" applyBorder="1" applyAlignment="1">
      <alignment horizontal="center"/>
    </xf>
    <xf numFmtId="0" fontId="0" fillId="3" borderId="28" xfId="0" applyFill="1" applyBorder="1"/>
    <xf numFmtId="0" fontId="0" fillId="3" borderId="29" xfId="0" applyFill="1" applyBorder="1"/>
    <xf numFmtId="164" fontId="0" fillId="5" borderId="0" xfId="1" applyNumberFormat="1" applyFont="1" applyFill="1" applyAlignment="1">
      <alignment horizontal="right"/>
    </xf>
    <xf numFmtId="0" fontId="0" fillId="4" borderId="1" xfId="1" applyNumberFormat="1" applyFont="1" applyFill="1" applyBorder="1" applyAlignment="1">
      <alignment horizontal="center"/>
    </xf>
    <xf numFmtId="164" fontId="2" fillId="3" borderId="2" xfId="1" applyNumberFormat="1" applyFont="1" applyFill="1" applyBorder="1" applyAlignment="1">
      <alignment horizontal="center"/>
    </xf>
    <xf numFmtId="164" fontId="0" fillId="4" borderId="17" xfId="1" applyNumberFormat="1" applyFont="1" applyFill="1" applyBorder="1"/>
    <xf numFmtId="0" fontId="7" fillId="5" borderId="9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0" fillId="0" borderId="0" xfId="0" applyFill="1"/>
    <xf numFmtId="0" fontId="1" fillId="4" borderId="1" xfId="1" applyNumberFormat="1" applyFont="1" applyFill="1" applyBorder="1" applyAlignment="1">
      <alignment horizontal="center"/>
    </xf>
    <xf numFmtId="166" fontId="2" fillId="3" borderId="2" xfId="2" applyNumberFormat="1" applyFont="1" applyFill="1" applyBorder="1" applyAlignment="1">
      <alignment horizontal="right"/>
    </xf>
    <xf numFmtId="164" fontId="0" fillId="5" borderId="0" xfId="0" applyNumberFormat="1" applyFill="1" applyAlignment="1">
      <alignment horizontal="left"/>
    </xf>
    <xf numFmtId="0" fontId="0" fillId="6" borderId="0" xfId="0" applyFill="1" applyAlignment="1">
      <alignment horizontal="left"/>
    </xf>
    <xf numFmtId="166" fontId="0" fillId="3" borderId="16" xfId="2" applyNumberFormat="1" applyFont="1" applyFill="1" applyBorder="1"/>
    <xf numFmtId="166" fontId="0" fillId="2" borderId="0" xfId="0" applyNumberFormat="1" applyFill="1"/>
    <xf numFmtId="166" fontId="0" fillId="2" borderId="3" xfId="2" applyNumberFormat="1" applyFont="1" applyFill="1" applyBorder="1"/>
    <xf numFmtId="166" fontId="0" fillId="4" borderId="0" xfId="2" applyNumberFormat="1" applyFont="1" applyFill="1" applyBorder="1"/>
    <xf numFmtId="166" fontId="0" fillId="3" borderId="0" xfId="0" applyNumberFormat="1" applyFill="1" applyAlignment="1">
      <alignment horizontal="right"/>
    </xf>
    <xf numFmtId="166" fontId="0" fillId="4" borderId="0" xfId="0" applyNumberFormat="1" applyFill="1" applyAlignment="1">
      <alignment horizontal="right"/>
    </xf>
    <xf numFmtId="166" fontId="0" fillId="2" borderId="0" xfId="2" applyNumberFormat="1" applyFont="1" applyFill="1" applyBorder="1"/>
    <xf numFmtId="166" fontId="0" fillId="3" borderId="2" xfId="0" applyNumberFormat="1" applyFill="1" applyBorder="1"/>
    <xf numFmtId="166" fontId="0" fillId="2" borderId="0" xfId="0" applyNumberFormat="1" applyFill="1" applyBorder="1"/>
    <xf numFmtId="166" fontId="0" fillId="4" borderId="0" xfId="0" applyNumberFormat="1" applyFill="1" applyBorder="1"/>
    <xf numFmtId="166" fontId="0" fillId="2" borderId="13" xfId="0" applyNumberFormat="1" applyFill="1" applyBorder="1"/>
    <xf numFmtId="166" fontId="0" fillId="4" borderId="13" xfId="0" applyNumberFormat="1" applyFill="1" applyBorder="1"/>
    <xf numFmtId="166" fontId="0" fillId="2" borderId="1" xfId="2" applyNumberFormat="1" applyFont="1" applyFill="1" applyBorder="1"/>
    <xf numFmtId="0" fontId="8" fillId="5" borderId="0" xfId="0" applyFont="1" applyFill="1" applyAlignment="1">
      <alignment horizontal="center"/>
    </xf>
    <xf numFmtId="164" fontId="0" fillId="5" borderId="0" xfId="1" applyNumberFormat="1" applyFont="1" applyFill="1" applyBorder="1"/>
    <xf numFmtId="9" fontId="0" fillId="5" borderId="0" xfId="2" applyFont="1" applyFill="1" applyAlignment="1">
      <alignment horizontal="right"/>
    </xf>
    <xf numFmtId="0" fontId="7" fillId="5" borderId="0" xfId="0" applyFont="1" applyFill="1" applyAlignment="1">
      <alignment horizontal="center"/>
    </xf>
    <xf numFmtId="0" fontId="0" fillId="6" borderId="0" xfId="0" applyFont="1" applyFill="1"/>
    <xf numFmtId="0" fontId="0" fillId="7" borderId="0" xfId="0" applyFont="1" applyFill="1" applyAlignment="1">
      <alignment horizontal="right"/>
    </xf>
    <xf numFmtId="164" fontId="1" fillId="6" borderId="9" xfId="1" applyNumberFormat="1" applyFont="1" applyFill="1" applyBorder="1" applyAlignment="1">
      <alignment horizontal="right"/>
    </xf>
    <xf numFmtId="0" fontId="2" fillId="6" borderId="9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right"/>
    </xf>
    <xf numFmtId="43" fontId="0" fillId="4" borderId="0" xfId="0" applyNumberFormat="1" applyFill="1" applyBorder="1"/>
    <xf numFmtId="2" fontId="0" fillId="4" borderId="13" xfId="0" applyNumberFormat="1" applyFill="1" applyBorder="1" applyAlignment="1">
      <alignment horizontal="center"/>
    </xf>
    <xf numFmtId="0" fontId="2" fillId="4" borderId="10" xfId="0" applyFont="1" applyFill="1" applyBorder="1" applyAlignment="1">
      <alignment horizontal="right"/>
    </xf>
    <xf numFmtId="43" fontId="0" fillId="4" borderId="11" xfId="0" applyNumberFormat="1" applyFill="1" applyBorder="1"/>
    <xf numFmtId="2" fontId="0" fillId="4" borderId="14" xfId="0" applyNumberForma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0" fillId="5" borderId="9" xfId="0" applyFill="1" applyBorder="1" applyAlignment="1">
      <alignment horizontal="right"/>
    </xf>
    <xf numFmtId="0" fontId="0" fillId="5" borderId="13" xfId="0" applyFill="1" applyBorder="1"/>
    <xf numFmtId="0" fontId="0" fillId="6" borderId="9" xfId="0" applyFill="1" applyBorder="1" applyAlignment="1">
      <alignment horizontal="right"/>
    </xf>
    <xf numFmtId="0" fontId="0" fillId="5" borderId="10" xfId="0" applyFill="1" applyBorder="1" applyAlignment="1">
      <alignment horizontal="right"/>
    </xf>
    <xf numFmtId="0" fontId="0" fillId="4" borderId="9" xfId="0" applyFont="1" applyFill="1" applyBorder="1" applyAlignment="1">
      <alignment horizontal="right"/>
    </xf>
    <xf numFmtId="9" fontId="0" fillId="4" borderId="0" xfId="0" applyNumberFormat="1" applyFill="1" applyBorder="1" applyAlignment="1">
      <alignment horizontal="center"/>
    </xf>
    <xf numFmtId="166" fontId="0" fillId="4" borderId="17" xfId="2" applyNumberFormat="1" applyFont="1" applyFill="1" applyBorder="1"/>
    <xf numFmtId="9" fontId="0" fillId="5" borderId="0" xfId="2" applyFont="1" applyFill="1"/>
    <xf numFmtId="166" fontId="0" fillId="4" borderId="1" xfId="2" applyNumberFormat="1" applyFont="1" applyFill="1" applyBorder="1"/>
    <xf numFmtId="0" fontId="0" fillId="5" borderId="0" xfId="0" applyFill="1" applyBorder="1" applyAlignment="1">
      <alignment horizontal="center"/>
    </xf>
    <xf numFmtId="166" fontId="0" fillId="4" borderId="30" xfId="2" applyNumberFormat="1" applyFont="1" applyFill="1" applyBorder="1"/>
    <xf numFmtId="166" fontId="0" fillId="3" borderId="3" xfId="2" quotePrefix="1" applyNumberFormat="1" applyFont="1" applyFill="1" applyBorder="1" applyAlignment="1">
      <alignment horizontal="center"/>
    </xf>
    <xf numFmtId="164" fontId="1" fillId="3" borderId="2" xfId="1" applyNumberFormat="1" applyFont="1" applyFill="1" applyBorder="1" applyAlignment="1">
      <alignment horizontal="center"/>
    </xf>
    <xf numFmtId="164" fontId="1" fillId="4" borderId="0" xfId="1" applyNumberFormat="1" applyFont="1" applyFill="1" applyAlignment="1">
      <alignment horizontal="center"/>
    </xf>
    <xf numFmtId="166" fontId="0" fillId="6" borderId="0" xfId="2" applyNumberFormat="1" applyFont="1" applyFill="1" applyBorder="1"/>
    <xf numFmtId="0" fontId="2" fillId="6" borderId="1" xfId="0" applyFont="1" applyFill="1" applyBorder="1" applyAlignment="1">
      <alignment horizontal="center"/>
    </xf>
    <xf numFmtId="164" fontId="1" fillId="3" borderId="19" xfId="1" applyNumberFormat="1" applyFont="1" applyFill="1" applyBorder="1" applyAlignment="1">
      <alignment horizontal="right"/>
    </xf>
    <xf numFmtId="164" fontId="0" fillId="4" borderId="1" xfId="0" applyNumberFormat="1" applyFont="1" applyFill="1" applyBorder="1" applyAlignment="1">
      <alignment horizontal="right"/>
    </xf>
    <xf numFmtId="164" fontId="1" fillId="4" borderId="0" xfId="1" applyNumberFormat="1" applyFont="1" applyFill="1"/>
    <xf numFmtId="164" fontId="1" fillId="4" borderId="1" xfId="1" applyNumberFormat="1" applyFont="1" applyFill="1" applyBorder="1"/>
    <xf numFmtId="0" fontId="6" fillId="5" borderId="0" xfId="0" applyFont="1" applyFill="1" applyBorder="1" applyAlignment="1">
      <alignment horizontal="right"/>
    </xf>
    <xf numFmtId="164" fontId="0" fillId="4" borderId="31" xfId="1" applyNumberFormat="1" applyFont="1" applyFill="1" applyBorder="1"/>
    <xf numFmtId="164" fontId="2" fillId="3" borderId="32" xfId="1" applyNumberFormat="1" applyFont="1" applyFill="1" applyBorder="1" applyAlignment="1">
      <alignment horizontal="center"/>
    </xf>
    <xf numFmtId="166" fontId="0" fillId="2" borderId="0" xfId="2" quotePrefix="1" applyNumberFormat="1" applyFont="1" applyFill="1" applyBorder="1" applyAlignment="1">
      <alignment horizontal="center"/>
    </xf>
    <xf numFmtId="0" fontId="0" fillId="5" borderId="0" xfId="0" applyFont="1" applyFill="1"/>
    <xf numFmtId="164" fontId="1" fillId="6" borderId="13" xfId="1" applyNumberFormat="1" applyFont="1" applyFill="1" applyBorder="1" applyAlignment="1">
      <alignment horizontal="right"/>
    </xf>
    <xf numFmtId="164" fontId="0" fillId="4" borderId="15" xfId="0" applyNumberFormat="1" applyFill="1" applyBorder="1"/>
    <xf numFmtId="164" fontId="2" fillId="4" borderId="13" xfId="0" applyNumberFormat="1" applyFont="1" applyFill="1" applyBorder="1" applyAlignment="1">
      <alignment horizontal="right"/>
    </xf>
    <xf numFmtId="164" fontId="0" fillId="4" borderId="15" xfId="0" applyNumberFormat="1" applyFont="1" applyFill="1" applyBorder="1" applyAlignment="1">
      <alignment horizontal="right"/>
    </xf>
    <xf numFmtId="164" fontId="2" fillId="4" borderId="31" xfId="0" applyNumberFormat="1" applyFont="1" applyFill="1" applyBorder="1" applyAlignment="1">
      <alignment horizontal="right"/>
    </xf>
    <xf numFmtId="0" fontId="0" fillId="6" borderId="0" xfId="0" applyFont="1" applyFill="1" applyAlignment="1">
      <alignment horizontal="right"/>
    </xf>
    <xf numFmtId="0" fontId="7" fillId="5" borderId="4" xfId="0" applyFont="1" applyFill="1" applyBorder="1" applyAlignment="1">
      <alignment horizontal="center"/>
    </xf>
    <xf numFmtId="0" fontId="2" fillId="4" borderId="0" xfId="0" applyFont="1" applyFill="1" applyAlignment="1">
      <alignment horizontal="left" vertical="top"/>
    </xf>
    <xf numFmtId="169" fontId="0" fillId="4" borderId="0" xfId="1" applyNumberFormat="1" applyFont="1" applyFill="1"/>
    <xf numFmtId="165" fontId="0" fillId="4" borderId="0" xfId="3" applyNumberFormat="1" applyFont="1" applyFill="1"/>
    <xf numFmtId="164" fontId="0" fillId="4" borderId="20" xfId="1" applyNumberFormat="1" applyFont="1" applyFill="1" applyBorder="1"/>
    <xf numFmtId="0" fontId="4" fillId="3" borderId="33" xfId="0" applyFont="1" applyFill="1" applyBorder="1" applyAlignment="1">
      <alignment horizontal="right"/>
    </xf>
    <xf numFmtId="164" fontId="2" fillId="5" borderId="0" xfId="1" applyNumberFormat="1" applyFont="1" applyFill="1" applyAlignment="1">
      <alignment horizontal="center"/>
    </xf>
    <xf numFmtId="164" fontId="2" fillId="5" borderId="0" xfId="1" applyNumberFormat="1" applyFont="1" applyFill="1" applyAlignment="1">
      <alignment horizontal="center"/>
    </xf>
    <xf numFmtId="166" fontId="0" fillId="2" borderId="0" xfId="0" applyNumberFormat="1" applyFill="1" applyAlignment="1">
      <alignment horizontal="left"/>
    </xf>
    <xf numFmtId="0" fontId="2" fillId="4" borderId="1" xfId="0" applyNumberFormat="1" applyFont="1" applyFill="1" applyBorder="1" applyAlignment="1">
      <alignment horizontal="center"/>
    </xf>
    <xf numFmtId="0" fontId="0" fillId="7" borderId="0" xfId="0" applyFill="1" applyAlignment="1">
      <alignment horizontal="right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54FE6-19B9-4822-88BE-F2157F18F6E9}">
  <dimension ref="A1:M78"/>
  <sheetViews>
    <sheetView tabSelected="1" zoomScale="70" zoomScaleNormal="70" workbookViewId="0"/>
  </sheetViews>
  <sheetFormatPr defaultRowHeight="15" x14ac:dyDescent="0.25"/>
  <cols>
    <col min="1" max="1" width="44.42578125" customWidth="1"/>
    <col min="2" max="2" width="16.140625" customWidth="1"/>
    <col min="3" max="3" width="26" customWidth="1"/>
    <col min="4" max="4" width="29.7109375" customWidth="1"/>
    <col min="5" max="5" width="39.85546875" customWidth="1"/>
    <col min="6" max="11" width="13.7109375" customWidth="1"/>
    <col min="12" max="12" width="12.140625" customWidth="1"/>
    <col min="13" max="13" width="12" customWidth="1"/>
    <col min="15" max="15" width="11.5703125" customWidth="1"/>
  </cols>
  <sheetData>
    <row r="1" spans="1:13" ht="16.5" thickBot="1" x14ac:dyDescent="0.3">
      <c r="A1" s="242" t="s">
        <v>278</v>
      </c>
      <c r="B1" s="47"/>
      <c r="C1" s="6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x14ac:dyDescent="0.25">
      <c r="A2" s="205" t="s">
        <v>0</v>
      </c>
      <c r="B2" s="29"/>
      <c r="C2" s="56"/>
      <c r="D2" s="13"/>
      <c r="E2" s="237" t="s">
        <v>2</v>
      </c>
      <c r="F2" s="47"/>
      <c r="G2" s="47"/>
      <c r="H2" s="47"/>
      <c r="I2" s="47"/>
      <c r="J2" s="47"/>
      <c r="K2" s="63"/>
      <c r="L2" s="13"/>
      <c r="M2" s="13"/>
    </row>
    <row r="3" spans="1:13" x14ac:dyDescent="0.25">
      <c r="A3" s="206" t="s">
        <v>6</v>
      </c>
      <c r="B3" s="31">
        <v>-0.03</v>
      </c>
      <c r="C3" s="207" t="s">
        <v>24</v>
      </c>
      <c r="D3" s="13"/>
      <c r="E3" s="64" t="s">
        <v>254</v>
      </c>
      <c r="F3" s="151">
        <f>B32+1</f>
        <v>2022</v>
      </c>
      <c r="G3" s="151">
        <f>F3+1</f>
        <v>2023</v>
      </c>
      <c r="H3" s="151">
        <f>G3+1</f>
        <v>2024</v>
      </c>
      <c r="I3" s="151">
        <f>H3+1</f>
        <v>2025</v>
      </c>
      <c r="J3" s="151">
        <f>I3+1</f>
        <v>2026</v>
      </c>
      <c r="K3" s="154">
        <f>J3+1</f>
        <v>2027</v>
      </c>
      <c r="L3" s="13"/>
      <c r="M3" s="13"/>
    </row>
    <row r="4" spans="1:13" x14ac:dyDescent="0.25">
      <c r="A4" s="206" t="s">
        <v>26</v>
      </c>
      <c r="B4" s="31">
        <v>0.02</v>
      </c>
      <c r="C4" s="207" t="s">
        <v>25</v>
      </c>
      <c r="D4" s="13"/>
      <c r="E4" s="170" t="s">
        <v>245</v>
      </c>
      <c r="F4" s="53"/>
      <c r="G4" s="53"/>
      <c r="H4" s="53"/>
      <c r="I4" s="53"/>
      <c r="J4" s="53"/>
      <c r="K4" s="171"/>
      <c r="L4" s="13"/>
      <c r="M4" s="13"/>
    </row>
    <row r="5" spans="1:13" x14ac:dyDescent="0.25">
      <c r="A5" s="206" t="s">
        <v>346</v>
      </c>
      <c r="B5" s="31">
        <v>0.05</v>
      </c>
      <c r="C5" s="207" t="s">
        <v>348</v>
      </c>
      <c r="D5" s="13"/>
      <c r="E5" s="64" t="s">
        <v>279</v>
      </c>
      <c r="F5" s="22">
        <f>Enrollment!C45</f>
        <v>30227445.329110585</v>
      </c>
      <c r="G5" s="22">
        <f>Enrollment!D45</f>
        <v>28314578.684675008</v>
      </c>
      <c r="H5" s="22">
        <f>Enrollment!E45</f>
        <v>26981333.393984176</v>
      </c>
      <c r="I5" s="22">
        <f>Enrollment!F45</f>
        <v>24457988.81081403</v>
      </c>
      <c r="J5" s="22">
        <f>Enrollment!G45</f>
        <v>23989211.221333496</v>
      </c>
      <c r="K5" s="66">
        <f>Enrollment!H45</f>
        <v>21338844.590713702</v>
      </c>
      <c r="L5" s="13"/>
      <c r="M5" s="13"/>
    </row>
    <row r="6" spans="1:13" x14ac:dyDescent="0.25">
      <c r="A6" s="206" t="s">
        <v>46</v>
      </c>
      <c r="B6" s="31">
        <v>0.4</v>
      </c>
      <c r="C6" s="56"/>
      <c r="D6" s="13"/>
      <c r="E6" s="64" t="s">
        <v>280</v>
      </c>
      <c r="F6" s="22">
        <f>Enrollment!C49</f>
        <v>0</v>
      </c>
      <c r="G6" s="22">
        <f>Enrollment!D49</f>
        <v>0</v>
      </c>
      <c r="H6" s="22">
        <f>Enrollment!E49</f>
        <v>0</v>
      </c>
      <c r="I6" s="22">
        <f>Enrollment!F49</f>
        <v>0</v>
      </c>
      <c r="J6" s="22">
        <f>Enrollment!G49</f>
        <v>0</v>
      </c>
      <c r="K6" s="66">
        <f>Enrollment!H49</f>
        <v>0</v>
      </c>
      <c r="L6" s="13"/>
      <c r="M6" s="13"/>
    </row>
    <row r="7" spans="1:13" x14ac:dyDescent="0.25">
      <c r="A7" s="206" t="s">
        <v>347</v>
      </c>
      <c r="B7" s="31">
        <v>0.02</v>
      </c>
      <c r="C7" s="207" t="s">
        <v>44</v>
      </c>
      <c r="D7" s="13"/>
      <c r="E7" s="64" t="s">
        <v>281</v>
      </c>
      <c r="F7" s="22">
        <f>Enrollment!C50</f>
        <v>0</v>
      </c>
      <c r="G7" s="22">
        <f>Enrollment!D50</f>
        <v>0</v>
      </c>
      <c r="H7" s="22">
        <f>Enrollment!E50</f>
        <v>0</v>
      </c>
      <c r="I7" s="22">
        <f>Enrollment!F50</f>
        <v>0</v>
      </c>
      <c r="J7" s="22">
        <f>Enrollment!G50</f>
        <v>0</v>
      </c>
      <c r="K7" s="66">
        <f>Enrollment!H50</f>
        <v>0</v>
      </c>
      <c r="L7" s="13"/>
      <c r="M7" s="13"/>
    </row>
    <row r="8" spans="1:13" x14ac:dyDescent="0.25">
      <c r="A8" s="206" t="s">
        <v>343</v>
      </c>
      <c r="B8" s="31">
        <v>-0.05</v>
      </c>
      <c r="C8" s="207"/>
      <c r="D8" s="13"/>
      <c r="E8" s="64" t="s">
        <v>282</v>
      </c>
      <c r="F8" s="22">
        <f>Enrollment!C51</f>
        <v>0</v>
      </c>
      <c r="G8" s="22">
        <f>Enrollment!D51</f>
        <v>0</v>
      </c>
      <c r="H8" s="22">
        <f>Enrollment!E51</f>
        <v>0</v>
      </c>
      <c r="I8" s="22">
        <f>Enrollment!F51</f>
        <v>0</v>
      </c>
      <c r="J8" s="22">
        <f>Enrollment!G51</f>
        <v>0</v>
      </c>
      <c r="K8" s="66">
        <f>Enrollment!H51</f>
        <v>0</v>
      </c>
      <c r="L8" s="13"/>
      <c r="M8" s="13"/>
    </row>
    <row r="9" spans="1:13" x14ac:dyDescent="0.25">
      <c r="A9" s="206" t="s">
        <v>48</v>
      </c>
      <c r="B9" s="31">
        <v>0</v>
      </c>
      <c r="C9" s="207" t="s">
        <v>134</v>
      </c>
      <c r="D9" s="13"/>
      <c r="E9" s="64" t="s">
        <v>283</v>
      </c>
      <c r="F9" s="22">
        <f>Enrollment!C64</f>
        <v>3000000</v>
      </c>
      <c r="G9" s="22">
        <f>Enrollment!D64</f>
        <v>4060000</v>
      </c>
      <c r="H9" s="22">
        <f>Enrollment!E64</f>
        <v>3121200</v>
      </c>
      <c r="I9" s="22">
        <f>Enrollment!F64</f>
        <v>3183624</v>
      </c>
      <c r="J9" s="22">
        <f>Enrollment!G64</f>
        <v>3247296.48</v>
      </c>
      <c r="K9" s="66">
        <f>Enrollment!H64</f>
        <v>3312242.4095999999</v>
      </c>
      <c r="L9" s="13"/>
      <c r="M9" s="13"/>
    </row>
    <row r="10" spans="1:13" x14ac:dyDescent="0.25">
      <c r="A10" s="206" t="s">
        <v>49</v>
      </c>
      <c r="B10" s="31">
        <v>0</v>
      </c>
      <c r="C10" s="207" t="s">
        <v>134</v>
      </c>
      <c r="D10" s="13"/>
      <c r="E10" s="64" t="s">
        <v>284</v>
      </c>
      <c r="F10" s="22">
        <f>Enrollment!C66</f>
        <v>0</v>
      </c>
      <c r="G10" s="22">
        <f>Enrollment!D66</f>
        <v>0</v>
      </c>
      <c r="H10" s="22">
        <f>Enrollment!E66</f>
        <v>0</v>
      </c>
      <c r="I10" s="22">
        <f>Enrollment!F66</f>
        <v>0</v>
      </c>
      <c r="J10" s="22">
        <f>Enrollment!G66</f>
        <v>0</v>
      </c>
      <c r="K10" s="66">
        <f>Enrollment!H66</f>
        <v>0</v>
      </c>
      <c r="L10" s="13"/>
      <c r="M10" s="13"/>
    </row>
    <row r="11" spans="1:13" x14ac:dyDescent="0.25">
      <c r="A11" s="206" t="s">
        <v>153</v>
      </c>
      <c r="B11" s="2">
        <v>1000000</v>
      </c>
      <c r="C11" s="56"/>
      <c r="D11" s="13"/>
      <c r="E11" s="64" t="s">
        <v>293</v>
      </c>
      <c r="F11" s="22">
        <f>Enrollment!C79</f>
        <v>2345000</v>
      </c>
      <c r="G11" s="22">
        <f>Enrollment!D79</f>
        <v>2439400</v>
      </c>
      <c r="H11" s="22">
        <f>Enrollment!E79</f>
        <v>2537588</v>
      </c>
      <c r="I11" s="22">
        <f>Enrollment!F79</f>
        <v>2639715.7600000002</v>
      </c>
      <c r="J11" s="22">
        <f>Enrollment!G79</f>
        <v>3023782.5232000002</v>
      </c>
      <c r="K11" s="66">
        <f>Enrollment!H79</f>
        <v>3145383.2834240007</v>
      </c>
      <c r="L11" s="13"/>
      <c r="M11" s="13"/>
    </row>
    <row r="12" spans="1:13" x14ac:dyDescent="0.25">
      <c r="A12" s="206" t="s">
        <v>251</v>
      </c>
      <c r="B12" s="31">
        <v>0.1</v>
      </c>
      <c r="C12" s="56"/>
      <c r="D12" s="13"/>
      <c r="E12" s="64" t="s">
        <v>294</v>
      </c>
      <c r="F12" s="22">
        <f>Enrollment!C81</f>
        <v>0</v>
      </c>
      <c r="G12" s="22">
        <f>Enrollment!D81</f>
        <v>0</v>
      </c>
      <c r="H12" s="22">
        <f>Enrollment!E81</f>
        <v>0</v>
      </c>
      <c r="I12" s="22">
        <f>Enrollment!F81</f>
        <v>0</v>
      </c>
      <c r="J12" s="22">
        <f>Enrollment!G81</f>
        <v>0</v>
      </c>
      <c r="K12" s="66">
        <f>Enrollment!H81</f>
        <v>0</v>
      </c>
      <c r="L12" s="13"/>
      <c r="M12" s="13"/>
    </row>
    <row r="13" spans="1:13" x14ac:dyDescent="0.25">
      <c r="A13" s="206" t="s">
        <v>57</v>
      </c>
      <c r="B13" s="31">
        <v>0.01</v>
      </c>
      <c r="C13" s="207" t="s">
        <v>134</v>
      </c>
      <c r="D13" s="13"/>
      <c r="E13" s="64" t="s">
        <v>295</v>
      </c>
      <c r="F13" s="22">
        <f>Enrollment!C69</f>
        <v>0</v>
      </c>
      <c r="G13" s="22">
        <f>Enrollment!D69</f>
        <v>0</v>
      </c>
      <c r="H13" s="22">
        <f>Enrollment!E69</f>
        <v>0</v>
      </c>
      <c r="I13" s="22">
        <f>Enrollment!F69</f>
        <v>0</v>
      </c>
      <c r="J13" s="22">
        <f>Enrollment!G69</f>
        <v>0</v>
      </c>
      <c r="K13" s="66">
        <f>Enrollment!H69</f>
        <v>0</v>
      </c>
      <c r="L13" s="13"/>
      <c r="M13" s="13"/>
    </row>
    <row r="14" spans="1:13" x14ac:dyDescent="0.25">
      <c r="A14" s="206" t="s">
        <v>58</v>
      </c>
      <c r="B14" s="31">
        <v>0</v>
      </c>
      <c r="C14" s="207" t="s">
        <v>134</v>
      </c>
      <c r="D14" s="13"/>
      <c r="E14" s="64" t="s">
        <v>296</v>
      </c>
      <c r="F14" s="22">
        <f>Enrollment!C82</f>
        <v>0</v>
      </c>
      <c r="G14" s="22">
        <f>Enrollment!D82</f>
        <v>0</v>
      </c>
      <c r="H14" s="22">
        <f>Enrollment!E82</f>
        <v>0</v>
      </c>
      <c r="I14" s="22">
        <f>Enrollment!F82</f>
        <v>0</v>
      </c>
      <c r="J14" s="22">
        <f>Enrollment!G82</f>
        <v>0</v>
      </c>
      <c r="K14" s="66">
        <f>Enrollment!H82</f>
        <v>0</v>
      </c>
      <c r="L14" s="13"/>
      <c r="M14" s="13"/>
    </row>
    <row r="15" spans="1:13" x14ac:dyDescent="0.25">
      <c r="A15" s="206" t="s">
        <v>59</v>
      </c>
      <c r="B15" s="31">
        <v>0.01</v>
      </c>
      <c r="C15" s="207" t="s">
        <v>134</v>
      </c>
      <c r="D15" s="13"/>
      <c r="E15" s="64" t="s">
        <v>297</v>
      </c>
      <c r="F15" s="5">
        <f>Enrollment!C84</f>
        <v>500000</v>
      </c>
      <c r="G15" s="5">
        <f>Enrollment!D84</f>
        <v>560000</v>
      </c>
      <c r="H15" s="5">
        <f>Enrollment!E84</f>
        <v>520200</v>
      </c>
      <c r="I15" s="5">
        <f>Enrollment!F84</f>
        <v>530604</v>
      </c>
      <c r="J15" s="5">
        <f>Enrollment!G84</f>
        <v>541216.07999999996</v>
      </c>
      <c r="K15" s="67">
        <f>Enrollment!H84</f>
        <v>552040.40159999998</v>
      </c>
      <c r="L15" s="13"/>
      <c r="M15" s="13"/>
    </row>
    <row r="16" spans="1:13" x14ac:dyDescent="0.25">
      <c r="A16" s="206" t="s">
        <v>60</v>
      </c>
      <c r="B16" s="31">
        <v>0.01</v>
      </c>
      <c r="C16" s="207" t="s">
        <v>134</v>
      </c>
      <c r="D16" s="13"/>
      <c r="E16" s="69" t="s">
        <v>244</v>
      </c>
      <c r="F16" s="22">
        <f t="shared" ref="F16:K16" si="0">SUM(F5:F15)</f>
        <v>36072445.329110585</v>
      </c>
      <c r="G16" s="22">
        <f t="shared" si="0"/>
        <v>35373978.684675008</v>
      </c>
      <c r="H16" s="22">
        <f t="shared" si="0"/>
        <v>33160321.393984176</v>
      </c>
      <c r="I16" s="22">
        <f t="shared" si="0"/>
        <v>30811932.570814032</v>
      </c>
      <c r="J16" s="22">
        <f t="shared" si="0"/>
        <v>30801506.304533496</v>
      </c>
      <c r="K16" s="66">
        <f t="shared" si="0"/>
        <v>28348510.685337704</v>
      </c>
      <c r="L16" s="13"/>
      <c r="M16" s="13"/>
    </row>
    <row r="17" spans="1:13" x14ac:dyDescent="0.25">
      <c r="A17" s="206" t="s">
        <v>28</v>
      </c>
      <c r="B17" s="2">
        <v>-4</v>
      </c>
      <c r="C17" s="207" t="s">
        <v>27</v>
      </c>
      <c r="D17" s="13"/>
      <c r="E17" s="170" t="s">
        <v>287</v>
      </c>
      <c r="F17" s="23"/>
      <c r="G17" s="23"/>
      <c r="H17" s="23"/>
      <c r="I17" s="23"/>
      <c r="J17" s="23"/>
      <c r="K17" s="119"/>
      <c r="L17" s="13"/>
      <c r="M17" s="13"/>
    </row>
    <row r="18" spans="1:13" x14ac:dyDescent="0.25">
      <c r="A18" s="206" t="s">
        <v>29</v>
      </c>
      <c r="B18" s="2">
        <v>-3</v>
      </c>
      <c r="C18" s="207" t="s">
        <v>27</v>
      </c>
      <c r="D18" s="13"/>
      <c r="E18" s="64" t="s">
        <v>298</v>
      </c>
      <c r="F18" s="22">
        <f>Enrollment!C53</f>
        <v>0</v>
      </c>
      <c r="G18" s="22">
        <f>Enrollment!D53</f>
        <v>0</v>
      </c>
      <c r="H18" s="22">
        <f>Enrollment!E53</f>
        <v>0</v>
      </c>
      <c r="I18" s="22">
        <f>Enrollment!F53</f>
        <v>0</v>
      </c>
      <c r="J18" s="22">
        <f>Enrollment!G53</f>
        <v>0</v>
      </c>
      <c r="K18" s="66">
        <f>Enrollment!H53</f>
        <v>0</v>
      </c>
      <c r="L18" s="13"/>
      <c r="M18" s="13"/>
    </row>
    <row r="19" spans="1:13" x14ac:dyDescent="0.25">
      <c r="A19" s="206" t="s">
        <v>55</v>
      </c>
      <c r="B19" s="2">
        <v>8</v>
      </c>
      <c r="C19" s="207" t="s">
        <v>27</v>
      </c>
      <c r="D19" s="13"/>
      <c r="E19" s="64" t="s">
        <v>299</v>
      </c>
      <c r="F19" s="22">
        <f>Enrollment!C54</f>
        <v>20000000</v>
      </c>
      <c r="G19" s="22">
        <f>Enrollment!D54</f>
        <v>19000000</v>
      </c>
      <c r="H19" s="22">
        <f>Enrollment!E54</f>
        <v>18050000</v>
      </c>
      <c r="I19" s="22">
        <f>Enrollment!F54</f>
        <v>17147500</v>
      </c>
      <c r="J19" s="22">
        <f>Enrollment!G54</f>
        <v>16290125</v>
      </c>
      <c r="K19" s="66">
        <f>Enrollment!H54</f>
        <v>15475618.75</v>
      </c>
      <c r="L19" s="13"/>
      <c r="M19" s="13"/>
    </row>
    <row r="20" spans="1:13" x14ac:dyDescent="0.25">
      <c r="A20" s="206" t="s">
        <v>56</v>
      </c>
      <c r="B20" s="2">
        <v>-1</v>
      </c>
      <c r="C20" s="207" t="s">
        <v>27</v>
      </c>
      <c r="D20" s="13"/>
      <c r="E20" s="64" t="s">
        <v>300</v>
      </c>
      <c r="F20" s="22">
        <f>Enrollment!C55</f>
        <v>0</v>
      </c>
      <c r="G20" s="22">
        <f>Enrollment!D55</f>
        <v>0</v>
      </c>
      <c r="H20" s="22">
        <f>Enrollment!E55</f>
        <v>0</v>
      </c>
      <c r="I20" s="22">
        <f>Enrollment!F55</f>
        <v>0</v>
      </c>
      <c r="J20" s="22">
        <f>Enrollment!G55</f>
        <v>0</v>
      </c>
      <c r="K20" s="66">
        <f>Enrollment!H55</f>
        <v>0</v>
      </c>
      <c r="L20" s="13"/>
      <c r="M20" s="13"/>
    </row>
    <row r="21" spans="1:13" x14ac:dyDescent="0.25">
      <c r="A21" s="206" t="s">
        <v>32</v>
      </c>
      <c r="B21" s="177">
        <v>0.02</v>
      </c>
      <c r="C21" s="207" t="s">
        <v>134</v>
      </c>
      <c r="D21" s="13"/>
      <c r="E21" s="64" t="s">
        <v>301</v>
      </c>
      <c r="F21" s="22">
        <f>Enrollment!C56</f>
        <v>0</v>
      </c>
      <c r="G21" s="22">
        <f>Enrollment!D56</f>
        <v>0</v>
      </c>
      <c r="H21" s="22">
        <f>Enrollment!E56</f>
        <v>0</v>
      </c>
      <c r="I21" s="22">
        <f>Enrollment!F56</f>
        <v>0</v>
      </c>
      <c r="J21" s="22">
        <f>Enrollment!G56</f>
        <v>0</v>
      </c>
      <c r="K21" s="66">
        <f>Enrollment!H56</f>
        <v>0</v>
      </c>
      <c r="L21" s="13"/>
      <c r="M21" s="13"/>
    </row>
    <row r="22" spans="1:13" x14ac:dyDescent="0.25">
      <c r="A22" s="206" t="s">
        <v>227</v>
      </c>
      <c r="B22" s="177">
        <v>0.09</v>
      </c>
      <c r="C22" s="56"/>
      <c r="D22" s="13"/>
      <c r="E22" s="64" t="s">
        <v>302</v>
      </c>
      <c r="F22" s="22">
        <f>Enrollment!C57</f>
        <v>0</v>
      </c>
      <c r="G22" s="22">
        <f>Enrollment!D57</f>
        <v>0</v>
      </c>
      <c r="H22" s="22">
        <f>Enrollment!E57</f>
        <v>0</v>
      </c>
      <c r="I22" s="22">
        <f>Enrollment!F57</f>
        <v>0</v>
      </c>
      <c r="J22" s="22">
        <f>Enrollment!G57</f>
        <v>0</v>
      </c>
      <c r="K22" s="66">
        <f>Enrollment!H57</f>
        <v>0</v>
      </c>
      <c r="L22" s="13"/>
      <c r="M22" s="13"/>
    </row>
    <row r="23" spans="1:13" x14ac:dyDescent="0.25">
      <c r="A23" s="206" t="s">
        <v>228</v>
      </c>
      <c r="B23" s="31">
        <v>0.05</v>
      </c>
      <c r="C23" s="207" t="s">
        <v>229</v>
      </c>
      <c r="D23" s="13"/>
      <c r="E23" s="64" t="s">
        <v>303</v>
      </c>
      <c r="F23" s="22">
        <f>Enrollment!C58</f>
        <v>0</v>
      </c>
      <c r="G23" s="22">
        <f>Enrollment!D58</f>
        <v>0</v>
      </c>
      <c r="H23" s="22">
        <f>Enrollment!E58</f>
        <v>0</v>
      </c>
      <c r="I23" s="22">
        <f>Enrollment!F58</f>
        <v>0</v>
      </c>
      <c r="J23" s="22">
        <f>Enrollment!G58</f>
        <v>0</v>
      </c>
      <c r="K23" s="66">
        <f>Enrollment!H58</f>
        <v>0</v>
      </c>
      <c r="L23" s="13"/>
      <c r="M23" s="13"/>
    </row>
    <row r="24" spans="1:13" x14ac:dyDescent="0.25">
      <c r="A24" s="37"/>
      <c r="B24" s="24"/>
      <c r="C24" s="56"/>
      <c r="D24" s="13"/>
      <c r="E24" s="64" t="s">
        <v>286</v>
      </c>
      <c r="F24" s="22">
        <f>Enrollment!C59</f>
        <v>0</v>
      </c>
      <c r="G24" s="22">
        <f>Enrollment!D59</f>
        <v>0</v>
      </c>
      <c r="H24" s="22">
        <f>Enrollment!E59</f>
        <v>0</v>
      </c>
      <c r="I24" s="22">
        <f>Enrollment!F59</f>
        <v>0</v>
      </c>
      <c r="J24" s="22">
        <f>Enrollment!G59</f>
        <v>0</v>
      </c>
      <c r="K24" s="66">
        <f>Enrollment!H59</f>
        <v>0</v>
      </c>
      <c r="L24" s="13"/>
      <c r="M24" s="13"/>
    </row>
    <row r="25" spans="1:13" x14ac:dyDescent="0.25">
      <c r="A25" s="205" t="s">
        <v>43</v>
      </c>
      <c r="B25" s="29"/>
      <c r="C25" s="56"/>
      <c r="D25" s="13"/>
      <c r="E25" s="64" t="s">
        <v>243</v>
      </c>
      <c r="F25" s="22">
        <f>Endow!B7</f>
        <v>1300000</v>
      </c>
      <c r="G25" s="22">
        <f>Endow!C7</f>
        <v>1960416.6666666667</v>
      </c>
      <c r="H25" s="22">
        <f>Endow!D7</f>
        <v>1653333.3333333333</v>
      </c>
      <c r="I25" s="22">
        <f>Endow!E7</f>
        <v>1311493.0555555555</v>
      </c>
      <c r="J25" s="22">
        <f>Endow!F7</f>
        <v>1357147.2222222222</v>
      </c>
      <c r="K25" s="66">
        <f>Endow!G7</f>
        <v>1393094.2129629629</v>
      </c>
      <c r="L25" s="13"/>
      <c r="M25" s="13"/>
    </row>
    <row r="26" spans="1:13" x14ac:dyDescent="0.25">
      <c r="A26" s="206" t="s">
        <v>1</v>
      </c>
      <c r="B26" s="31">
        <v>0.02</v>
      </c>
      <c r="C26" s="207"/>
      <c r="D26" s="13"/>
      <c r="E26" s="64" t="s">
        <v>285</v>
      </c>
      <c r="F26" s="22">
        <f>Enrollment!C68-F25</f>
        <v>1800000</v>
      </c>
      <c r="G26" s="22">
        <f>Enrollment!D68-G25</f>
        <v>389583.33333333326</v>
      </c>
      <c r="H26" s="22">
        <f>Enrollment!E68-H25</f>
        <v>849666.66666666674</v>
      </c>
      <c r="I26" s="22">
        <f>Enrollment!F68-I25</f>
        <v>1217569.4444444445</v>
      </c>
      <c r="J26" s="22">
        <f>Enrollment!G68-J25</f>
        <v>1239385.2777777778</v>
      </c>
      <c r="K26" s="66">
        <f>Enrollment!H68-K25</f>
        <v>1304019.5370370371</v>
      </c>
      <c r="L26" s="13"/>
      <c r="M26" s="13"/>
    </row>
    <row r="27" spans="1:13" x14ac:dyDescent="0.25">
      <c r="A27" s="206" t="s">
        <v>53</v>
      </c>
      <c r="B27" s="31">
        <v>0.45</v>
      </c>
      <c r="C27" s="207" t="s">
        <v>30</v>
      </c>
      <c r="D27" s="13"/>
      <c r="E27" s="64" t="s">
        <v>304</v>
      </c>
      <c r="F27" s="5">
        <f>Enrollment!C60</f>
        <v>0</v>
      </c>
      <c r="G27" s="5">
        <f>Enrollment!D60</f>
        <v>0</v>
      </c>
      <c r="H27" s="5">
        <f>Enrollment!E60</f>
        <v>0</v>
      </c>
      <c r="I27" s="5">
        <f>Enrollment!F60</f>
        <v>0</v>
      </c>
      <c r="J27" s="5">
        <f>Enrollment!G60</f>
        <v>0</v>
      </c>
      <c r="K27" s="67">
        <f>Enrollment!H60</f>
        <v>0</v>
      </c>
      <c r="L27" s="13"/>
      <c r="M27" s="13"/>
    </row>
    <row r="28" spans="1:13" x14ac:dyDescent="0.25">
      <c r="A28" s="206" t="s">
        <v>54</v>
      </c>
      <c r="B28" s="31">
        <v>0.1</v>
      </c>
      <c r="C28" s="207"/>
      <c r="D28" s="13"/>
      <c r="E28" s="69" t="s">
        <v>305</v>
      </c>
      <c r="F28" s="169">
        <f>SUM(F18:F27)</f>
        <v>23100000</v>
      </c>
      <c r="G28" s="169">
        <f t="shared" ref="G28:K28" si="1">SUM(G18:G27)</f>
        <v>21350000</v>
      </c>
      <c r="H28" s="169">
        <f t="shared" si="1"/>
        <v>20553000</v>
      </c>
      <c r="I28" s="169">
        <f t="shared" si="1"/>
        <v>19676562.5</v>
      </c>
      <c r="J28" s="169">
        <f t="shared" si="1"/>
        <v>18886657.5</v>
      </c>
      <c r="K28" s="227">
        <f t="shared" si="1"/>
        <v>18172732.5</v>
      </c>
      <c r="L28" s="13"/>
      <c r="M28" s="13"/>
    </row>
    <row r="29" spans="1:13" x14ac:dyDescent="0.25">
      <c r="A29" s="206" t="s">
        <v>63</v>
      </c>
      <c r="B29" s="31">
        <v>0.02</v>
      </c>
      <c r="C29" s="207" t="s">
        <v>31</v>
      </c>
      <c r="D29" s="13"/>
      <c r="E29" s="69" t="s">
        <v>306</v>
      </c>
      <c r="F29" s="18">
        <f t="shared" ref="F29:K29" si="2">F16+F28</f>
        <v>59172445.329110585</v>
      </c>
      <c r="G29" s="18">
        <f t="shared" si="2"/>
        <v>56723978.684675008</v>
      </c>
      <c r="H29" s="18">
        <f t="shared" si="2"/>
        <v>53713321.393984176</v>
      </c>
      <c r="I29" s="18">
        <f t="shared" si="2"/>
        <v>50488495.070814028</v>
      </c>
      <c r="J29" s="18">
        <f t="shared" si="2"/>
        <v>49688163.804533496</v>
      </c>
      <c r="K29" s="68">
        <f t="shared" si="2"/>
        <v>46521243.185337707</v>
      </c>
      <c r="L29" s="13"/>
      <c r="M29" s="13"/>
    </row>
    <row r="30" spans="1:13" x14ac:dyDescent="0.25">
      <c r="A30" s="206" t="s">
        <v>64</v>
      </c>
      <c r="B30" s="31">
        <v>0</v>
      </c>
      <c r="C30" s="207"/>
      <c r="D30" s="13"/>
      <c r="E30" s="37"/>
      <c r="F30" s="29"/>
      <c r="G30" s="29"/>
      <c r="H30" s="29"/>
      <c r="I30" s="29"/>
      <c r="J30" s="29"/>
      <c r="K30" s="56"/>
      <c r="L30" s="13"/>
      <c r="M30" s="13"/>
    </row>
    <row r="31" spans="1:13" x14ac:dyDescent="0.25">
      <c r="A31" s="208"/>
      <c r="B31" s="24"/>
      <c r="C31" s="56"/>
      <c r="D31" s="13"/>
      <c r="E31" s="170" t="s">
        <v>255</v>
      </c>
      <c r="F31" s="151">
        <f>B32+1</f>
        <v>2022</v>
      </c>
      <c r="G31" s="151">
        <f>F31+1</f>
        <v>2023</v>
      </c>
      <c r="H31" s="151">
        <f t="shared" ref="H31:K31" si="3">G31+1</f>
        <v>2024</v>
      </c>
      <c r="I31" s="151">
        <f t="shared" si="3"/>
        <v>2025</v>
      </c>
      <c r="J31" s="151">
        <f t="shared" si="3"/>
        <v>2026</v>
      </c>
      <c r="K31" s="154">
        <f t="shared" si="3"/>
        <v>2027</v>
      </c>
      <c r="L31" s="13"/>
      <c r="M31" s="13"/>
    </row>
    <row r="32" spans="1:13" ht="15.75" thickBot="1" x14ac:dyDescent="0.3">
      <c r="A32" s="209" t="s">
        <v>3</v>
      </c>
      <c r="B32" s="39">
        <v>2021</v>
      </c>
      <c r="C32" s="57"/>
      <c r="D32" s="13"/>
      <c r="E32" s="64" t="s">
        <v>307</v>
      </c>
      <c r="F32" s="22">
        <f>Staffing!B169</f>
        <v>25693048.799049467</v>
      </c>
      <c r="G32" s="22">
        <f>Staffing!C169</f>
        <v>25968400.612082787</v>
      </c>
      <c r="H32" s="22">
        <f>Staffing!D169</f>
        <v>26299058.822158884</v>
      </c>
      <c r="I32" s="22">
        <f>Staffing!E169</f>
        <v>26707968.475008018</v>
      </c>
      <c r="J32" s="22">
        <f>Staffing!F169</f>
        <v>27751070.009184483</v>
      </c>
      <c r="K32" s="66">
        <f>Staffing!G169</f>
        <v>27170384.560992055</v>
      </c>
      <c r="L32" s="13"/>
      <c r="M32" s="13"/>
    </row>
    <row r="33" spans="1:13" ht="15.75" thickBot="1" x14ac:dyDescent="0.3">
      <c r="A33" s="13"/>
      <c r="B33" s="14"/>
      <c r="C33" s="13"/>
      <c r="D33" s="13"/>
      <c r="E33" s="64" t="s">
        <v>308</v>
      </c>
      <c r="F33" s="22">
        <f>Staffing!B170</f>
        <v>3257135.6224337863</v>
      </c>
      <c r="G33" s="22">
        <f>Staffing!C170</f>
        <v>3287195.1142924041</v>
      </c>
      <c r="H33" s="22">
        <f>Staffing!D170</f>
        <v>3320721.4189850762</v>
      </c>
      <c r="I33" s="22">
        <f>Staffing!E170</f>
        <v>3385158.0022089751</v>
      </c>
      <c r="J33" s="22">
        <f>Staffing!F170</f>
        <v>3415724.466529659</v>
      </c>
      <c r="K33" s="66">
        <f>Staffing!G170</f>
        <v>3445785.4358424381</v>
      </c>
      <c r="L33" s="13"/>
      <c r="M33" s="13"/>
    </row>
    <row r="34" spans="1:13" x14ac:dyDescent="0.25">
      <c r="A34" s="46"/>
      <c r="B34" s="158" t="s">
        <v>267</v>
      </c>
      <c r="C34" s="163" t="s">
        <v>268</v>
      </c>
      <c r="D34" s="13"/>
      <c r="E34" s="64" t="s">
        <v>309</v>
      </c>
      <c r="F34" s="22">
        <f>Staffing!B171</f>
        <v>1923588.0401269384</v>
      </c>
      <c r="G34" s="22">
        <f>Staffing!C171</f>
        <v>1940952.0790966544</v>
      </c>
      <c r="H34" s="22">
        <f>Staffing!D171</f>
        <v>1960047.5258483742</v>
      </c>
      <c r="I34" s="22">
        <f>Staffing!E171</f>
        <v>1995068.1153620032</v>
      </c>
      <c r="J34" s="22">
        <f>Staffing!F171</f>
        <v>2012622.3480719209</v>
      </c>
      <c r="K34" s="66">
        <f>Staffing!G171</f>
        <v>2029856.7212103414</v>
      </c>
      <c r="L34" s="13"/>
      <c r="M34" s="13"/>
    </row>
    <row r="35" spans="1:13" x14ac:dyDescent="0.25">
      <c r="A35" s="199" t="s">
        <v>156</v>
      </c>
      <c r="B35" s="151" t="s">
        <v>266</v>
      </c>
      <c r="C35" s="154" t="s">
        <v>358</v>
      </c>
      <c r="D35" s="13"/>
      <c r="E35" s="64" t="s">
        <v>310</v>
      </c>
      <c r="F35" s="22">
        <f>Staffing!B172</f>
        <v>6522851.6777211269</v>
      </c>
      <c r="G35" s="22">
        <f>Staffing!C172</f>
        <v>6646152.7807637248</v>
      </c>
      <c r="H35" s="22">
        <f>Staffing!D172</f>
        <v>6774983.3775101434</v>
      </c>
      <c r="I35" s="22">
        <f>Staffing!E172</f>
        <v>6930267.7622961216</v>
      </c>
      <c r="J35" s="22">
        <f>Staffing!F172</f>
        <v>7063954.9144698596</v>
      </c>
      <c r="K35" s="66">
        <f>Staffing!G172</f>
        <v>7200620.8654947793</v>
      </c>
      <c r="L35" s="13"/>
      <c r="M35" s="13"/>
    </row>
    <row r="36" spans="1:13" x14ac:dyDescent="0.25">
      <c r="A36" s="131">
        <f>F3</f>
        <v>2022</v>
      </c>
      <c r="B36" s="200">
        <f>Enrollment!C92</f>
        <v>30.773097871851181</v>
      </c>
      <c r="C36" s="201">
        <f>Enrollment!C93</f>
        <v>20.195035079598991</v>
      </c>
      <c r="D36" s="13"/>
      <c r="E36" s="64" t="s">
        <v>311</v>
      </c>
      <c r="F36" s="22">
        <f>Staffing!B173</f>
        <v>4010963.1728556603</v>
      </c>
      <c r="G36" s="22">
        <f>Staffing!C173</f>
        <v>4056857.1856460525</v>
      </c>
      <c r="H36" s="22">
        <f>Staffing!D173</f>
        <v>4427458.1543730944</v>
      </c>
      <c r="I36" s="22">
        <f>Staffing!E173</f>
        <v>4512228.856212141</v>
      </c>
      <c r="J36" s="22">
        <f>Staffing!F173</f>
        <v>4562211.0741703613</v>
      </c>
      <c r="K36" s="66">
        <f>Staffing!G173</f>
        <v>4611970.6419659602</v>
      </c>
      <c r="L36" s="13"/>
      <c r="M36" s="13"/>
    </row>
    <row r="37" spans="1:13" x14ac:dyDescent="0.25">
      <c r="A37" s="131">
        <f>G3</f>
        <v>2023</v>
      </c>
      <c r="B37" s="200">
        <f>Enrollment!D92</f>
        <v>27.363053121932968</v>
      </c>
      <c r="C37" s="201">
        <f>Enrollment!D93</f>
        <v>18.412081350719237</v>
      </c>
      <c r="D37" s="13"/>
      <c r="E37" s="64" t="s">
        <v>312</v>
      </c>
      <c r="F37" s="22">
        <f>Staffing!B174</f>
        <v>4803301.2317827009</v>
      </c>
      <c r="G37" s="22">
        <f>Staffing!C174</f>
        <v>4861521.3127370849</v>
      </c>
      <c r="H37" s="22">
        <f>Staffing!D174</f>
        <v>4925691.2658279557</v>
      </c>
      <c r="I37" s="22">
        <f>Staffing!E174</f>
        <v>5036734.8744172035</v>
      </c>
      <c r="J37" s="22">
        <f>Staffing!F174</f>
        <v>5097932.1874595284</v>
      </c>
      <c r="K37" s="66">
        <f>Staffing!G174</f>
        <v>5159236.7953040963</v>
      </c>
      <c r="L37" s="13"/>
      <c r="M37" s="13"/>
    </row>
    <row r="38" spans="1:13" x14ac:dyDescent="0.25">
      <c r="A38" s="131">
        <f>H3</f>
        <v>2024</v>
      </c>
      <c r="B38" s="200">
        <f>Enrollment!E92</f>
        <v>24.49032178925745</v>
      </c>
      <c r="C38" s="201">
        <f>Enrollment!E93</f>
        <v>17.109685784416516</v>
      </c>
      <c r="D38" s="13"/>
      <c r="E38" s="64" t="s">
        <v>313</v>
      </c>
      <c r="F38" s="22">
        <f>Staffing!B175</f>
        <v>1951778.1226969876</v>
      </c>
      <c r="G38" s="22">
        <f>Staffing!C175</f>
        <v>1983523.2184115979</v>
      </c>
      <c r="H38" s="22">
        <f>Staffing!D175</f>
        <v>2020959.820297682</v>
      </c>
      <c r="I38" s="22">
        <f>Staffing!E175</f>
        <v>2100515.6047109496</v>
      </c>
      <c r="J38" s="22">
        <f>Staffing!F175</f>
        <v>2135059.0318753477</v>
      </c>
      <c r="K38" s="66">
        <f>Staffing!G175</f>
        <v>2170042.0408206186</v>
      </c>
      <c r="L38" s="13"/>
      <c r="M38" s="13"/>
    </row>
    <row r="39" spans="1:13" x14ac:dyDescent="0.25">
      <c r="A39" s="131">
        <f>I3</f>
        <v>2025</v>
      </c>
      <c r="B39" s="200">
        <f>Enrollment!F92</f>
        <v>22.453560214512081</v>
      </c>
      <c r="C39" s="201">
        <f>Enrollment!F93</f>
        <v>16.111674564093896</v>
      </c>
      <c r="D39" s="13"/>
      <c r="E39" s="64" t="s">
        <v>314</v>
      </c>
      <c r="F39" s="22">
        <f>Staffing!B176</f>
        <v>5953369.8792240815</v>
      </c>
      <c r="G39" s="22">
        <f>Staffing!C176</f>
        <v>5918286.9379908871</v>
      </c>
      <c r="H39" s="22">
        <f>Staffing!D176</f>
        <v>6028998.1689885054</v>
      </c>
      <c r="I39" s="22">
        <f>Staffing!E176</f>
        <v>5786957.1529785478</v>
      </c>
      <c r="J39" s="22">
        <f>Staffing!F176</f>
        <v>6146252.3059565732</v>
      </c>
      <c r="K39" s="66">
        <f>Staffing!G176</f>
        <v>6124187.4199557593</v>
      </c>
      <c r="L39" s="13"/>
      <c r="M39" s="13"/>
    </row>
    <row r="40" spans="1:13" ht="15" customHeight="1" x14ac:dyDescent="0.25">
      <c r="A40" s="131">
        <f>J3</f>
        <v>2026</v>
      </c>
      <c r="B40" s="200">
        <f>Enrollment!G92</f>
        <v>20.171629400672042</v>
      </c>
      <c r="C40" s="201">
        <f>Enrollment!G93</f>
        <v>14.816629601836231</v>
      </c>
      <c r="D40" s="13"/>
      <c r="E40" s="64" t="s">
        <v>315</v>
      </c>
      <c r="F40" s="22">
        <f>Staffing!B177</f>
        <v>0</v>
      </c>
      <c r="G40" s="22">
        <f>Staffing!C177</f>
        <v>0</v>
      </c>
      <c r="H40" s="22">
        <f>Staffing!D177</f>
        <v>0</v>
      </c>
      <c r="I40" s="22">
        <f>Staffing!E177</f>
        <v>0</v>
      </c>
      <c r="J40" s="22">
        <f>Staffing!F177</f>
        <v>0</v>
      </c>
      <c r="K40" s="66">
        <f>Staffing!G177</f>
        <v>0</v>
      </c>
      <c r="L40" s="13"/>
      <c r="M40" s="13"/>
    </row>
    <row r="41" spans="1:13" ht="15" customHeight="1" thickBot="1" x14ac:dyDescent="0.3">
      <c r="A41" s="202">
        <f>K3</f>
        <v>2027</v>
      </c>
      <c r="B41" s="203">
        <f>Enrollment!H92</f>
        <v>18.702811934204458</v>
      </c>
      <c r="C41" s="204">
        <f>Enrollment!H93</f>
        <v>14.697100297558194</v>
      </c>
      <c r="D41" s="13"/>
      <c r="E41" s="64" t="s">
        <v>316</v>
      </c>
      <c r="F41" s="22">
        <f>Staffing!B178</f>
        <v>0</v>
      </c>
      <c r="G41" s="22">
        <f>Staffing!C178</f>
        <v>0</v>
      </c>
      <c r="H41" s="22">
        <f>Staffing!D178</f>
        <v>0</v>
      </c>
      <c r="I41" s="22">
        <f>Staffing!E178</f>
        <v>0</v>
      </c>
      <c r="J41" s="22">
        <f>Staffing!F178</f>
        <v>0</v>
      </c>
      <c r="K41" s="66">
        <f>Staffing!G178</f>
        <v>0</v>
      </c>
      <c r="L41" s="13"/>
      <c r="M41" s="13"/>
    </row>
    <row r="42" spans="1:13" ht="15" customHeight="1" x14ac:dyDescent="0.25">
      <c r="A42" s="13"/>
      <c r="B42" s="13"/>
      <c r="C42" s="13"/>
      <c r="D42" s="13"/>
      <c r="E42" s="64" t="s">
        <v>317</v>
      </c>
      <c r="F42" s="5">
        <f>Staffing!B179</f>
        <v>0</v>
      </c>
      <c r="G42" s="5">
        <f>Staffing!C179</f>
        <v>0</v>
      </c>
      <c r="H42" s="5">
        <f>Staffing!D179</f>
        <v>0</v>
      </c>
      <c r="I42" s="5">
        <f>Staffing!E179</f>
        <v>0</v>
      </c>
      <c r="J42" s="5">
        <f>Staffing!F179</f>
        <v>0</v>
      </c>
      <c r="K42" s="67">
        <f>Staffing!G179</f>
        <v>0</v>
      </c>
      <c r="L42" s="13"/>
      <c r="M42" s="13"/>
    </row>
    <row r="43" spans="1:13" ht="15" customHeight="1" x14ac:dyDescent="0.25">
      <c r="A43" s="13"/>
      <c r="B43" s="13"/>
      <c r="C43" s="13"/>
      <c r="D43" s="13"/>
      <c r="E43" s="69" t="s">
        <v>318</v>
      </c>
      <c r="F43" s="22">
        <f>SUM(F32:F42)</f>
        <v>54116036.545890749</v>
      </c>
      <c r="G43" s="22">
        <f t="shared" ref="G43:K43" si="4">SUM(G32:G42)</f>
        <v>54662889.241021186</v>
      </c>
      <c r="H43" s="22">
        <f t="shared" si="4"/>
        <v>55757918.553989708</v>
      </c>
      <c r="I43" s="22">
        <f t="shared" si="4"/>
        <v>56454898.843193956</v>
      </c>
      <c r="J43" s="22">
        <f t="shared" si="4"/>
        <v>58184826.337717734</v>
      </c>
      <c r="K43" s="66">
        <f t="shared" si="4"/>
        <v>57912084.481586054</v>
      </c>
      <c r="L43" s="13"/>
      <c r="M43" s="13"/>
    </row>
    <row r="44" spans="1:13" x14ac:dyDescent="0.25">
      <c r="A44" s="13"/>
      <c r="B44" s="13"/>
      <c r="C44" s="13"/>
      <c r="D44" s="13"/>
      <c r="E44" s="37"/>
      <c r="F44" s="29"/>
      <c r="G44" s="29"/>
      <c r="H44" s="29"/>
      <c r="I44" s="29"/>
      <c r="J44" s="29"/>
      <c r="K44" s="56"/>
      <c r="L44" s="13"/>
      <c r="M44" s="13"/>
    </row>
    <row r="45" spans="1:13" ht="15.75" thickBot="1" x14ac:dyDescent="0.3">
      <c r="A45" s="13"/>
      <c r="B45" s="13"/>
      <c r="C45" s="13"/>
      <c r="D45" s="13"/>
      <c r="E45" s="142" t="s">
        <v>23</v>
      </c>
      <c r="F45" s="71">
        <f t="shared" ref="F45:K45" si="5">F29-F43</f>
        <v>5056408.7832198367</v>
      </c>
      <c r="G45" s="71">
        <f t="shared" si="5"/>
        <v>2061089.4436538219</v>
      </c>
      <c r="H45" s="71">
        <f t="shared" si="5"/>
        <v>-2044597.1600055322</v>
      </c>
      <c r="I45" s="71">
        <f t="shared" si="5"/>
        <v>-5966403.7723799273</v>
      </c>
      <c r="J45" s="71">
        <f t="shared" si="5"/>
        <v>-8496662.5331842378</v>
      </c>
      <c r="K45" s="72">
        <f t="shared" si="5"/>
        <v>-11390841.296248347</v>
      </c>
      <c r="L45" s="13"/>
      <c r="M45" s="13"/>
    </row>
    <row r="46" spans="1:13" ht="15.75" thickBot="1" x14ac:dyDescent="0.3">
      <c r="A46" s="13"/>
      <c r="B46" s="13"/>
      <c r="C46" s="13"/>
      <c r="D46" s="13"/>
      <c r="E46" s="52"/>
      <c r="F46" s="28"/>
      <c r="G46" s="28"/>
      <c r="H46" s="28"/>
      <c r="I46" s="28"/>
      <c r="J46" s="28"/>
      <c r="K46" s="141"/>
      <c r="L46" s="13"/>
      <c r="M46" s="13"/>
    </row>
    <row r="47" spans="1:13" x14ac:dyDescent="0.25">
      <c r="A47" s="13"/>
      <c r="B47" s="13"/>
      <c r="C47" s="13"/>
      <c r="D47" s="13"/>
      <c r="E47" s="62" t="s">
        <v>127</v>
      </c>
      <c r="F47" s="107">
        <f>Cash!B3</f>
        <v>5000000</v>
      </c>
      <c r="G47" s="107">
        <f>F48</f>
        <v>8232787.9343967717</v>
      </c>
      <c r="H47" s="107">
        <f t="shared" ref="H47:K47" si="6">G48</f>
        <v>10416356.143972665</v>
      </c>
      <c r="I47" s="107">
        <f t="shared" si="6"/>
        <v>8152088.8654375803</v>
      </c>
      <c r="J47" s="107">
        <f t="shared" si="6"/>
        <v>1642231.3274828517</v>
      </c>
      <c r="K47" s="108">
        <f t="shared" si="6"/>
        <v>-7588225.9642485548</v>
      </c>
      <c r="L47" s="13"/>
      <c r="M47" s="13"/>
    </row>
    <row r="48" spans="1:13" ht="15.75" thickBot="1" x14ac:dyDescent="0.3">
      <c r="A48" s="13"/>
      <c r="B48" s="13"/>
      <c r="C48" s="13"/>
      <c r="D48" s="13"/>
      <c r="E48" s="70" t="s">
        <v>128</v>
      </c>
      <c r="F48" s="71">
        <f>Cash!B17</f>
        <v>8232787.9343967717</v>
      </c>
      <c r="G48" s="71">
        <f>Cash!C17</f>
        <v>10416356.143972665</v>
      </c>
      <c r="H48" s="71">
        <f>Cash!D17</f>
        <v>8152088.8654375803</v>
      </c>
      <c r="I48" s="71">
        <f>Cash!E17</f>
        <v>1642231.3274828517</v>
      </c>
      <c r="J48" s="71">
        <f>Cash!F17</f>
        <v>-7588225.9642485548</v>
      </c>
      <c r="K48" s="72">
        <f>Cash!G17</f>
        <v>-19901173.741434351</v>
      </c>
      <c r="L48" s="13"/>
      <c r="M48" s="13"/>
    </row>
    <row r="49" spans="1:13" ht="15.75" thickBot="1" x14ac:dyDescent="0.3">
      <c r="A49" s="13"/>
      <c r="B49" s="13"/>
      <c r="C49" s="13"/>
      <c r="D49" s="13"/>
      <c r="E49" s="70" t="s">
        <v>265</v>
      </c>
      <c r="F49" s="71">
        <f>Endow!B3</f>
        <v>25000000</v>
      </c>
      <c r="G49" s="71">
        <f>Endow!C3</f>
        <v>26700000</v>
      </c>
      <c r="H49" s="71">
        <f>Endow!D3</f>
        <v>26989583.333333332</v>
      </c>
      <c r="I49" s="71">
        <f>Endow!E3</f>
        <v>27739250</v>
      </c>
      <c r="J49" s="71">
        <f>Endow!F3</f>
        <v>28856819.444444444</v>
      </c>
      <c r="K49" s="72">
        <f>Endow!G3</f>
        <v>29996204.72222222</v>
      </c>
      <c r="L49" s="13"/>
      <c r="M49" s="13"/>
    </row>
    <row r="50" spans="1:13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x14ac:dyDescent="0.25">
      <c r="A60" s="13"/>
      <c r="B60" s="13"/>
      <c r="C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x14ac:dyDescent="0.25">
      <c r="A61" s="13"/>
      <c r="E61" s="13"/>
      <c r="F61" s="13"/>
      <c r="G61" s="13"/>
      <c r="H61" s="13"/>
      <c r="I61" s="13"/>
      <c r="J61" s="13"/>
      <c r="K61" s="13"/>
    </row>
    <row r="62" spans="1:13" x14ac:dyDescent="0.25">
      <c r="E62" s="13"/>
      <c r="F62" s="13"/>
      <c r="G62" s="13"/>
      <c r="H62" s="13"/>
      <c r="I62" s="13"/>
      <c r="J62" s="13"/>
      <c r="K62" s="13"/>
    </row>
    <row r="63" spans="1:13" x14ac:dyDescent="0.25">
      <c r="E63" s="13"/>
      <c r="F63" s="13"/>
      <c r="G63" s="13"/>
      <c r="H63" s="13"/>
      <c r="I63" s="13"/>
      <c r="J63" s="13"/>
      <c r="K63" s="13"/>
    </row>
    <row r="64" spans="1:13" x14ac:dyDescent="0.25">
      <c r="E64" s="13"/>
      <c r="F64" s="13"/>
      <c r="G64" s="13"/>
      <c r="H64" s="13"/>
      <c r="I64" s="13"/>
      <c r="J64" s="13"/>
      <c r="K64" s="13"/>
    </row>
    <row r="65" spans="5:11" x14ac:dyDescent="0.25">
      <c r="E65" s="172"/>
      <c r="F65" s="172"/>
      <c r="G65" s="172"/>
      <c r="H65" s="172"/>
      <c r="I65" s="172"/>
      <c r="J65" s="172"/>
      <c r="K65" s="172"/>
    </row>
    <row r="66" spans="5:11" x14ac:dyDescent="0.25">
      <c r="E66" s="172"/>
      <c r="F66" s="172"/>
      <c r="G66" s="172"/>
      <c r="H66" s="172"/>
      <c r="I66" s="172"/>
      <c r="J66" s="172"/>
      <c r="K66" s="172"/>
    </row>
    <row r="67" spans="5:11" x14ac:dyDescent="0.25">
      <c r="E67" s="172"/>
      <c r="F67" s="172"/>
      <c r="G67" s="172"/>
      <c r="H67" s="172"/>
      <c r="I67" s="172"/>
      <c r="J67" s="172"/>
      <c r="K67" s="172"/>
    </row>
    <row r="68" spans="5:11" x14ac:dyDescent="0.25">
      <c r="E68" s="172"/>
      <c r="F68" s="172"/>
      <c r="G68" s="172"/>
      <c r="H68" s="172"/>
      <c r="I68" s="172"/>
      <c r="J68" s="172"/>
      <c r="K68" s="172"/>
    </row>
    <row r="69" spans="5:11" x14ac:dyDescent="0.25">
      <c r="E69" s="172"/>
      <c r="F69" s="172"/>
      <c r="G69" s="172"/>
      <c r="H69" s="172"/>
      <c r="I69" s="172"/>
      <c r="J69" s="172"/>
      <c r="K69" s="172"/>
    </row>
    <row r="70" spans="5:11" x14ac:dyDescent="0.25">
      <c r="E70" s="172"/>
      <c r="F70" s="172"/>
      <c r="G70" s="172"/>
      <c r="H70" s="172"/>
      <c r="I70" s="172"/>
      <c r="J70" s="172"/>
      <c r="K70" s="172"/>
    </row>
    <row r="71" spans="5:11" x14ac:dyDescent="0.25">
      <c r="E71" s="172"/>
      <c r="F71" s="172"/>
      <c r="G71" s="172"/>
      <c r="H71" s="172"/>
      <c r="I71" s="172"/>
      <c r="J71" s="172"/>
      <c r="K71" s="172"/>
    </row>
    <row r="72" spans="5:11" x14ac:dyDescent="0.25">
      <c r="E72" s="172"/>
      <c r="F72" s="172"/>
      <c r="G72" s="172"/>
      <c r="H72" s="172"/>
      <c r="I72" s="172"/>
      <c r="J72" s="172"/>
      <c r="K72" s="172"/>
    </row>
    <row r="73" spans="5:11" x14ac:dyDescent="0.25">
      <c r="E73" s="172"/>
      <c r="F73" s="172"/>
      <c r="G73" s="172"/>
      <c r="H73" s="172"/>
      <c r="I73" s="172"/>
      <c r="J73" s="172"/>
      <c r="K73" s="172"/>
    </row>
    <row r="74" spans="5:11" x14ac:dyDescent="0.25">
      <c r="E74" s="172"/>
      <c r="F74" s="172"/>
      <c r="G74" s="172"/>
      <c r="H74" s="172"/>
      <c r="I74" s="172"/>
      <c r="J74" s="172"/>
      <c r="K74" s="172"/>
    </row>
    <row r="75" spans="5:11" x14ac:dyDescent="0.25">
      <c r="E75" s="172"/>
      <c r="F75" s="172"/>
      <c r="G75" s="172"/>
      <c r="H75" s="172"/>
      <c r="I75" s="172"/>
      <c r="J75" s="172"/>
      <c r="K75" s="172"/>
    </row>
    <row r="76" spans="5:11" x14ac:dyDescent="0.25">
      <c r="E76" s="172"/>
      <c r="F76" s="172"/>
      <c r="G76" s="172"/>
      <c r="H76" s="172"/>
      <c r="I76" s="172"/>
      <c r="J76" s="172"/>
      <c r="K76" s="172"/>
    </row>
    <row r="77" spans="5:11" x14ac:dyDescent="0.25">
      <c r="E77" s="172"/>
      <c r="F77" s="172"/>
      <c r="G77" s="172"/>
      <c r="H77" s="172"/>
      <c r="I77" s="172"/>
      <c r="J77" s="172"/>
      <c r="K77" s="172"/>
    </row>
    <row r="78" spans="5:11" x14ac:dyDescent="0.25">
      <c r="E78" s="172"/>
      <c r="F78" s="172"/>
      <c r="G78" s="172"/>
      <c r="H78" s="172"/>
      <c r="I78" s="172"/>
      <c r="J78" s="172"/>
      <c r="K78" s="172"/>
    </row>
  </sheetData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0E050-C886-40DB-A5E9-B873747A99F7}">
  <dimension ref="A1:Q59"/>
  <sheetViews>
    <sheetView workbookViewId="0"/>
  </sheetViews>
  <sheetFormatPr defaultRowHeight="15" x14ac:dyDescent="0.25"/>
  <cols>
    <col min="1" max="1" width="28.85546875" customWidth="1"/>
    <col min="2" max="7" width="14" customWidth="1"/>
    <col min="8" max="8" width="32.5703125" customWidth="1"/>
  </cols>
  <sheetData>
    <row r="1" spans="1:17" x14ac:dyDescent="0.25">
      <c r="A1" s="238" t="str">
        <f>Summary!A1</f>
        <v>Old Talc Mine State College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x14ac:dyDescent="0.25">
      <c r="A2" s="150" t="s">
        <v>349</v>
      </c>
      <c r="B2" s="148">
        <f>Summary!F3</f>
        <v>2022</v>
      </c>
      <c r="C2" s="148">
        <f>Summary!G3</f>
        <v>2023</v>
      </c>
      <c r="D2" s="148">
        <f>Summary!H3</f>
        <v>2024</v>
      </c>
      <c r="E2" s="148">
        <f>Summary!I3</f>
        <v>2025</v>
      </c>
      <c r="F2" s="148">
        <f>Summary!J3</f>
        <v>2026</v>
      </c>
      <c r="G2" s="148">
        <f>Summary!K3</f>
        <v>2027</v>
      </c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x14ac:dyDescent="0.25">
      <c r="A3" s="8" t="s">
        <v>350</v>
      </c>
      <c r="B3" s="239">
        <f>Enrollment!C27/Staffing!B58</f>
        <v>21.65039222245613</v>
      </c>
      <c r="C3" s="239">
        <f>Enrollment!D27/Staffing!C58</f>
        <v>19.677291358757824</v>
      </c>
      <c r="D3" s="239">
        <f>Enrollment!E27/Staffing!D58</f>
        <v>18.280742516017696</v>
      </c>
      <c r="E3" s="239">
        <f>Enrollment!F27/Staffing!E58</f>
        <v>16.07430913078084</v>
      </c>
      <c r="F3" s="239">
        <f>Enrollment!G27/Staffing!F58</f>
        <v>15.007282013623293</v>
      </c>
      <c r="G3" s="239">
        <f>Enrollment!H27/Staffing!G58</f>
        <v>14.220964219249412</v>
      </c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x14ac:dyDescent="0.25">
      <c r="A4" s="8" t="s">
        <v>351</v>
      </c>
      <c r="B4" s="239">
        <f>Enrollment!C11/Staffing!B37</f>
        <v>40.151789006480641</v>
      </c>
      <c r="C4" s="239">
        <f>Enrollment!D11/Staffing!C37</f>
        <v>37.895471386014457</v>
      </c>
      <c r="D4" s="239">
        <f>Enrollment!E11/Staffing!D37</f>
        <v>36.052305832836403</v>
      </c>
      <c r="E4" s="239">
        <f>Enrollment!F11/Staffing!E37</f>
        <v>33.091389605317005</v>
      </c>
      <c r="F4" s="239">
        <f>Enrollment!G11/Staffing!F37</f>
        <v>30.779340395994925</v>
      </c>
      <c r="G4" s="239">
        <f>Enrollment!H11/Staffing!G37</f>
        <v>27.9801996321868</v>
      </c>
      <c r="H4" s="13"/>
      <c r="I4" s="13"/>
      <c r="J4" s="13"/>
      <c r="K4" s="13"/>
      <c r="L4" s="13"/>
      <c r="M4" s="13"/>
      <c r="N4" s="13"/>
      <c r="O4" s="13"/>
      <c r="P4" s="13"/>
      <c r="Q4" s="13"/>
    </row>
    <row r="5" spans="1:17" x14ac:dyDescent="0.25">
      <c r="A5" s="8" t="s">
        <v>352</v>
      </c>
      <c r="B5" s="239">
        <f>Enrollment!C11/Staffing!B55</f>
        <v>29.201301095622284</v>
      </c>
      <c r="C5" s="239">
        <f>Enrollment!D11/Staffing!C55</f>
        <v>27.13502889368937</v>
      </c>
      <c r="D5" s="239">
        <f>Enrollment!E11/Staffing!D55</f>
        <v>24.925050946158503</v>
      </c>
      <c r="E5" s="239">
        <f>Enrollment!F11/Staffing!E55</f>
        <v>22.477170297951169</v>
      </c>
      <c r="F5" s="239">
        <f>Enrollment!G11/Staffing!F55</f>
        <v>21.308774120304179</v>
      </c>
      <c r="G5" s="239">
        <f>Enrollment!H11/Staffing!G55</f>
        <v>18.287712177899866</v>
      </c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7" x14ac:dyDescent="0.25">
      <c r="A6" s="8" t="s">
        <v>353</v>
      </c>
      <c r="B6" s="239">
        <f>Staffing!B37/Staffing!B55</f>
        <v>0.72727272727272729</v>
      </c>
      <c r="C6" s="239">
        <f>Staffing!C37/Staffing!C55</f>
        <v>0.71604938271604945</v>
      </c>
      <c r="D6" s="239">
        <f>Staffing!D37/Staffing!D55</f>
        <v>0.69135802469135799</v>
      </c>
      <c r="E6" s="239">
        <f>Staffing!E37/Staffing!E55</f>
        <v>0.67924528301886777</v>
      </c>
      <c r="F6" s="239">
        <f>Staffing!F37/Staffing!F55</f>
        <v>0.69230769230769229</v>
      </c>
      <c r="G6" s="239">
        <f>Staffing!G37/Staffing!G55</f>
        <v>0.65359477124182996</v>
      </c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7" x14ac:dyDescent="0.25">
      <c r="A7" s="8" t="s">
        <v>354</v>
      </c>
      <c r="B7" s="240">
        <f>Summary!F43/((Enrollment!C27+Enrollment!C28)/2)</f>
        <v>21267.224931571833</v>
      </c>
      <c r="C7" s="240">
        <f>Summary!G43/((Enrollment!D27+Enrollment!D28)/2)</f>
        <v>23865.432949387279</v>
      </c>
      <c r="D7" s="240">
        <f>Summary!H43/((Enrollment!E27+Enrollment!E28)/2)</f>
        <v>26537.875509394817</v>
      </c>
      <c r="E7" s="240">
        <f>Summary!I43/((Enrollment!F27+Enrollment!F28)/2)</f>
        <v>30827.175766954046</v>
      </c>
      <c r="F7" s="240">
        <f>Summary!J43/((Enrollment!G27+Enrollment!G28)/2)</f>
        <v>33550.274451529047</v>
      </c>
      <c r="G7" s="240">
        <f>Summary!K43/((Enrollment!H27+Enrollment!H28)/2)</f>
        <v>38389.933454936247</v>
      </c>
      <c r="H7" s="13"/>
      <c r="I7" s="13"/>
      <c r="J7" s="13"/>
      <c r="K7" s="13"/>
      <c r="L7" s="13"/>
      <c r="M7" s="13"/>
      <c r="N7" s="13"/>
      <c r="O7" s="13"/>
      <c r="P7" s="13"/>
      <c r="Q7" s="13"/>
    </row>
    <row r="8" spans="1:17" x14ac:dyDescent="0.25">
      <c r="A8" s="8" t="s">
        <v>355</v>
      </c>
      <c r="B8" s="32">
        <f>Summary!F45/Summary!F29</f>
        <v>8.545208424456098E-2</v>
      </c>
      <c r="C8" s="32">
        <f>Summary!G45/Summary!G29</f>
        <v>3.633541742745669E-2</v>
      </c>
      <c r="D8" s="32">
        <f>Summary!H45/Summary!H29</f>
        <v>-3.8064992202000089E-2</v>
      </c>
      <c r="E8" s="32">
        <f>Summary!I45/Summary!I29</f>
        <v>-0.11817353169294477</v>
      </c>
      <c r="F8" s="32">
        <f>Summary!J45/Summary!J29</f>
        <v>-0.17099972876053454</v>
      </c>
      <c r="G8" s="32">
        <f>Summary!K45/Summary!K29</f>
        <v>-0.24485246988924933</v>
      </c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17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1:17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17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7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spans="1:17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spans="1:17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7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7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1:17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1:17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1:17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1:17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7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7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7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7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17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17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1:17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1:17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1:17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1:17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1:17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1:17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1:17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1:17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</row>
    <row r="47" spans="1:17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</row>
    <row r="48" spans="1:17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</row>
    <row r="49" spans="1:17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</row>
    <row r="50" spans="1:17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</row>
    <row r="51" spans="1:17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</row>
    <row r="52" spans="1:17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</row>
    <row r="53" spans="1:17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</row>
    <row r="54" spans="1:17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pans="1:17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</row>
    <row r="56" spans="1:17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</row>
    <row r="57" spans="1:17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</row>
    <row r="58" spans="1:17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</row>
    <row r="59" spans="1:17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26EAE-6469-47B7-AC92-C4C09F936CD4}">
  <dimension ref="A1:Q103"/>
  <sheetViews>
    <sheetView zoomScaleNormal="100" workbookViewId="0"/>
  </sheetViews>
  <sheetFormatPr defaultRowHeight="15" x14ac:dyDescent="0.25"/>
  <cols>
    <col min="1" max="1" width="42" customWidth="1"/>
    <col min="2" max="2" width="14.85546875" customWidth="1"/>
    <col min="3" max="14" width="11.7109375" customWidth="1"/>
  </cols>
  <sheetData>
    <row r="1" spans="1:17" ht="15.75" x14ac:dyDescent="0.25">
      <c r="A1" s="98" t="str">
        <f>Summary!A1</f>
        <v>Old Talc Mine State College</v>
      </c>
      <c r="B1" s="8"/>
      <c r="C1" s="11" t="s">
        <v>69</v>
      </c>
      <c r="D1" s="245">
        <f>Summary!B3</f>
        <v>-0.03</v>
      </c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x14ac:dyDescent="0.25">
      <c r="A2" s="11" t="s">
        <v>36</v>
      </c>
      <c r="B2" s="11" t="s">
        <v>359</v>
      </c>
      <c r="C2" s="151">
        <f>C36</f>
        <v>2022</v>
      </c>
      <c r="D2" s="151">
        <f t="shared" ref="D2:H2" si="0">D36</f>
        <v>2023</v>
      </c>
      <c r="E2" s="151">
        <f t="shared" si="0"/>
        <v>2024</v>
      </c>
      <c r="F2" s="151">
        <f t="shared" si="0"/>
        <v>2025</v>
      </c>
      <c r="G2" s="151">
        <f t="shared" si="0"/>
        <v>2026</v>
      </c>
      <c r="H2" s="151">
        <f t="shared" si="0"/>
        <v>2027</v>
      </c>
      <c r="I2" s="13"/>
      <c r="J2" s="13"/>
      <c r="K2" s="13"/>
      <c r="L2" s="13"/>
      <c r="M2" s="13"/>
      <c r="N2" s="13"/>
      <c r="O2" s="13"/>
      <c r="P2" s="13"/>
      <c r="Q2" s="13"/>
    </row>
    <row r="3" spans="1:17" x14ac:dyDescent="0.25">
      <c r="A3" s="10" t="s">
        <v>362</v>
      </c>
      <c r="B3" s="12" t="s">
        <v>37</v>
      </c>
      <c r="C3" s="149">
        <v>480</v>
      </c>
      <c r="D3" s="22">
        <f>C3*(1+$D$1)</f>
        <v>465.59999999999997</v>
      </c>
      <c r="E3" s="22">
        <f>D3*(1+$D$1)</f>
        <v>451.63199999999995</v>
      </c>
      <c r="F3" s="22">
        <f>E3*(1+$D$1)</f>
        <v>438.08303999999993</v>
      </c>
      <c r="G3" s="22">
        <f>F3*(1+$D$1)</f>
        <v>424.94054879999993</v>
      </c>
      <c r="H3" s="22">
        <f>G3*(1+$D$1)</f>
        <v>412.19233233599994</v>
      </c>
      <c r="I3" s="13"/>
      <c r="J3" s="13"/>
      <c r="K3" s="13"/>
      <c r="L3" s="13"/>
      <c r="M3" s="13"/>
      <c r="N3" s="13"/>
      <c r="O3" s="13"/>
      <c r="P3" s="13"/>
      <c r="Q3" s="13"/>
    </row>
    <row r="4" spans="1:17" x14ac:dyDescent="0.25">
      <c r="A4" s="10" t="s">
        <v>363</v>
      </c>
      <c r="B4" s="181">
        <v>0.4</v>
      </c>
      <c r="C4" s="22">
        <f>C3*$B$4</f>
        <v>192</v>
      </c>
      <c r="D4" s="22">
        <f>D3*$B$4</f>
        <v>186.24</v>
      </c>
      <c r="E4" s="22">
        <f>E3*$B$4</f>
        <v>180.65279999999998</v>
      </c>
      <c r="F4" s="22">
        <f>F3*$B$4</f>
        <v>175.23321599999997</v>
      </c>
      <c r="G4" s="22">
        <f>G3*$B$4</f>
        <v>169.97621951999997</v>
      </c>
      <c r="H4" s="22">
        <f>H3*$B$4</f>
        <v>164.87693293439997</v>
      </c>
      <c r="I4" s="13"/>
      <c r="J4" s="13"/>
      <c r="K4" s="13"/>
      <c r="L4" s="13"/>
      <c r="M4" s="13"/>
      <c r="N4" s="13"/>
      <c r="O4" s="13"/>
      <c r="P4" s="13"/>
      <c r="Q4" s="13"/>
    </row>
    <row r="5" spans="1:17" x14ac:dyDescent="0.25">
      <c r="A5" s="10" t="s">
        <v>364</v>
      </c>
      <c r="B5" s="25"/>
      <c r="C5" s="22">
        <f>StuFlow!P18</f>
        <v>1777.4331997360855</v>
      </c>
      <c r="D5" s="22">
        <f>StuFlow!P46</f>
        <v>1518.018199736086</v>
      </c>
      <c r="E5" s="22">
        <f>StuFlow!P74</f>
        <v>1355.6629882360858</v>
      </c>
      <c r="F5" s="22">
        <f>StuFlow!P102</f>
        <v>1085.2178156913258</v>
      </c>
      <c r="G5" s="22">
        <f>StuFlow!P130</f>
        <v>1053.8793313071615</v>
      </c>
      <c r="H5" s="22">
        <f>StuFlow!P158</f>
        <v>998.94560234481719</v>
      </c>
      <c r="I5" s="13"/>
      <c r="J5" s="13"/>
      <c r="K5" s="13"/>
      <c r="L5" s="13"/>
      <c r="M5" s="13"/>
      <c r="N5" s="13"/>
      <c r="O5" s="13"/>
      <c r="P5" s="13"/>
      <c r="Q5" s="13"/>
    </row>
    <row r="6" spans="1:17" x14ac:dyDescent="0.25">
      <c r="A6" s="10" t="s">
        <v>365</v>
      </c>
      <c r="B6" s="25"/>
      <c r="C6" s="22">
        <f>StuFlow!P32</f>
        <v>1748.4331997360857</v>
      </c>
      <c r="D6" s="22">
        <f>StuFlow!P60</f>
        <v>1544.0549997360858</v>
      </c>
      <c r="E6" s="22">
        <f>StuFlow!P88</f>
        <v>1402.7908634460857</v>
      </c>
      <c r="F6" s="22">
        <f>StuFlow!P116</f>
        <v>1188.4040739355423</v>
      </c>
      <c r="G6" s="22">
        <f>StuFlow!P144</f>
        <v>1134.152761559006</v>
      </c>
      <c r="H6" s="22">
        <f>StuFlow!P172</f>
        <v>1008.0884275255802</v>
      </c>
      <c r="I6" s="13"/>
      <c r="J6" s="13"/>
      <c r="K6" s="13"/>
      <c r="L6" s="13"/>
      <c r="M6" s="13"/>
      <c r="N6" s="13"/>
      <c r="O6" s="13"/>
      <c r="P6" s="13"/>
      <c r="Q6" s="13"/>
    </row>
    <row r="7" spans="1:17" x14ac:dyDescent="0.25">
      <c r="A7" s="10" t="s">
        <v>366</v>
      </c>
      <c r="B7" s="182">
        <f>B4</f>
        <v>0.4</v>
      </c>
      <c r="C7" s="2">
        <v>120</v>
      </c>
      <c r="D7" s="4">
        <f>C7*(1+$D$1)</f>
        <v>116.39999999999999</v>
      </c>
      <c r="E7" s="4">
        <f>D7*(1+$D$1)</f>
        <v>112.90799999999999</v>
      </c>
      <c r="F7" s="4">
        <f>E7*(1+$D$1)</f>
        <v>109.52075999999998</v>
      </c>
      <c r="G7" s="4">
        <f>F7*(1+$D$1)</f>
        <v>106.23513719999998</v>
      </c>
      <c r="H7" s="4">
        <f>G7*(1+$D$1)</f>
        <v>103.04808308399998</v>
      </c>
      <c r="I7" s="13"/>
      <c r="J7" s="13"/>
      <c r="K7" s="13"/>
      <c r="L7" s="13"/>
      <c r="M7" s="13"/>
      <c r="N7" s="13"/>
      <c r="O7" s="13"/>
      <c r="P7" s="13"/>
      <c r="Q7" s="13"/>
    </row>
    <row r="8" spans="1:17" x14ac:dyDescent="0.25">
      <c r="A8" s="10" t="s">
        <v>367</v>
      </c>
      <c r="B8" s="25"/>
      <c r="C8" s="22">
        <f>C7*$B$4</f>
        <v>48</v>
      </c>
      <c r="D8" s="22">
        <f>D7*$B$4</f>
        <v>46.56</v>
      </c>
      <c r="E8" s="22">
        <f>E7*$B$4</f>
        <v>45.163199999999996</v>
      </c>
      <c r="F8" s="22">
        <f>F7*$B$4</f>
        <v>43.808303999999993</v>
      </c>
      <c r="G8" s="22">
        <f>G7*$B$4</f>
        <v>42.494054879999993</v>
      </c>
      <c r="H8" s="22">
        <f>H7*$B$4</f>
        <v>41.219233233599994</v>
      </c>
      <c r="I8" s="13"/>
      <c r="J8" s="13"/>
      <c r="K8" s="13"/>
      <c r="L8" s="13"/>
      <c r="M8" s="13"/>
      <c r="N8" s="13"/>
      <c r="O8" s="13"/>
      <c r="P8" s="13"/>
      <c r="Q8" s="13"/>
    </row>
    <row r="9" spans="1:17" x14ac:dyDescent="0.25">
      <c r="A9" s="10" t="s">
        <v>368</v>
      </c>
      <c r="B9" s="25"/>
      <c r="C9" s="22">
        <f>StuFlow!Q18</f>
        <v>2440.7814810415916</v>
      </c>
      <c r="D9" s="22">
        <f>StuFlow!Q46</f>
        <v>2295.856481041591</v>
      </c>
      <c r="E9" s="22">
        <f>StuFlow!Q74</f>
        <v>2117.6552650415915</v>
      </c>
      <c r="F9" s="22">
        <f>StuFlow!Q102</f>
        <v>1941.048461682911</v>
      </c>
      <c r="G9" s="22">
        <f>StuFlow!Q130</f>
        <v>1739.1137454602904</v>
      </c>
      <c r="H9" s="22">
        <f>StuFlow!Q158</f>
        <v>1283.833945453863</v>
      </c>
      <c r="I9" s="13"/>
      <c r="J9" s="13"/>
      <c r="K9" s="13"/>
      <c r="L9" s="13"/>
      <c r="M9" s="13"/>
      <c r="N9" s="13"/>
      <c r="O9" s="13"/>
      <c r="P9" s="13"/>
      <c r="Q9" s="13"/>
    </row>
    <row r="10" spans="1:17" x14ac:dyDescent="0.25">
      <c r="A10" s="10" t="s">
        <v>369</v>
      </c>
      <c r="B10" s="25"/>
      <c r="C10" s="5">
        <f>StuFlow!Q32</f>
        <v>2425.2814810415916</v>
      </c>
      <c r="D10" s="5">
        <f>StuFlow!Q60</f>
        <v>2255.0906810415913</v>
      </c>
      <c r="E10" s="5">
        <f>StuFlow!Q88</f>
        <v>2072.4765686815913</v>
      </c>
      <c r="F10" s="5">
        <f>StuFlow!Q116</f>
        <v>1877.0383249187159</v>
      </c>
      <c r="G10" s="5">
        <f>StuFlow!Q144</f>
        <v>1688.1642589030582</v>
      </c>
      <c r="H10" s="5">
        <f>StuFlow!Q172</f>
        <v>1054.7160384008391</v>
      </c>
      <c r="I10" s="13"/>
      <c r="J10" s="13"/>
      <c r="K10" s="13"/>
      <c r="L10" s="13"/>
      <c r="M10" s="13"/>
      <c r="N10" s="13"/>
      <c r="O10" s="13"/>
      <c r="P10" s="13"/>
      <c r="Q10" s="13"/>
    </row>
    <row r="11" spans="1:17" x14ac:dyDescent="0.25">
      <c r="A11" s="130" t="s">
        <v>370</v>
      </c>
      <c r="B11" s="25"/>
      <c r="C11" s="22">
        <f>C3+C5+C7+C9</f>
        <v>4818.2146807776771</v>
      </c>
      <c r="D11" s="22">
        <f t="shared" ref="D11:H11" si="1">D3+D5+D7+D9</f>
        <v>4395.874680777677</v>
      </c>
      <c r="E11" s="22">
        <f t="shared" si="1"/>
        <v>4037.8582532776772</v>
      </c>
      <c r="F11" s="22">
        <f t="shared" si="1"/>
        <v>3573.8700773742366</v>
      </c>
      <c r="G11" s="22">
        <f t="shared" si="1"/>
        <v>3324.1687627674519</v>
      </c>
      <c r="H11" s="22">
        <f t="shared" si="1"/>
        <v>2798.01996321868</v>
      </c>
      <c r="I11" s="13"/>
      <c r="J11" s="13"/>
      <c r="K11" s="13"/>
      <c r="L11" s="13"/>
      <c r="M11" s="13"/>
      <c r="N11" s="13"/>
      <c r="O11" s="13"/>
      <c r="P11" s="13"/>
      <c r="Q11" s="13"/>
    </row>
    <row r="12" spans="1:17" x14ac:dyDescent="0.25">
      <c r="A12" s="130" t="s">
        <v>371</v>
      </c>
      <c r="B12" s="25"/>
      <c r="C12" s="22">
        <f>C4+C6+C8+C10</f>
        <v>4413.7146807776771</v>
      </c>
      <c r="D12" s="22">
        <f t="shared" ref="D12:H12" si="2">D4+D6+D8+D10</f>
        <v>4031.9456807776769</v>
      </c>
      <c r="E12" s="22">
        <f t="shared" si="2"/>
        <v>3701.083432127677</v>
      </c>
      <c r="F12" s="22">
        <f t="shared" si="2"/>
        <v>3284.4839188542583</v>
      </c>
      <c r="G12" s="22">
        <f t="shared" si="2"/>
        <v>3034.7872948620643</v>
      </c>
      <c r="H12" s="22">
        <f t="shared" si="2"/>
        <v>2268.9006320944191</v>
      </c>
      <c r="I12" s="13"/>
      <c r="J12" s="13"/>
      <c r="K12" s="13"/>
      <c r="L12" s="13"/>
      <c r="M12" s="13"/>
      <c r="N12" s="13"/>
      <c r="O12" s="13"/>
      <c r="P12" s="13"/>
      <c r="Q12" s="13"/>
    </row>
    <row r="13" spans="1:17" x14ac:dyDescent="0.25">
      <c r="A13" s="2">
        <v>520</v>
      </c>
      <c r="B13" s="191" t="s">
        <v>356</v>
      </c>
      <c r="C13" s="191"/>
      <c r="D13" s="191"/>
      <c r="E13" s="191"/>
      <c r="F13" s="191"/>
      <c r="G13" s="191"/>
      <c r="H13" s="191"/>
      <c r="I13" s="13"/>
      <c r="J13" s="13"/>
      <c r="K13" s="13"/>
      <c r="L13" s="13"/>
      <c r="M13" s="13"/>
      <c r="N13" s="13"/>
      <c r="O13" s="13"/>
      <c r="P13" s="13"/>
      <c r="Q13" s="13"/>
    </row>
    <row r="14" spans="1:17" x14ac:dyDescent="0.25">
      <c r="A14" s="2">
        <v>130</v>
      </c>
      <c r="B14" s="191" t="s">
        <v>357</v>
      </c>
      <c r="C14" s="8"/>
      <c r="D14" s="8"/>
      <c r="E14" s="191"/>
      <c r="F14" s="191"/>
      <c r="G14" s="191"/>
      <c r="H14" s="191"/>
      <c r="I14" s="13"/>
      <c r="J14" s="13"/>
      <c r="K14" s="13"/>
      <c r="L14" s="13"/>
      <c r="M14" s="13"/>
      <c r="N14" s="13"/>
      <c r="O14" s="13"/>
      <c r="P14" s="13"/>
      <c r="Q14" s="13"/>
    </row>
    <row r="15" spans="1:17" x14ac:dyDescent="0.25">
      <c r="A15" s="20" t="s">
        <v>38</v>
      </c>
      <c r="B15" s="97" t="s">
        <v>40</v>
      </c>
      <c r="C15" s="23"/>
      <c r="D15" s="23"/>
      <c r="E15" s="23"/>
      <c r="F15" s="23"/>
      <c r="G15" s="23"/>
      <c r="H15" s="23"/>
      <c r="I15" s="13"/>
      <c r="J15" s="13"/>
      <c r="K15" s="13"/>
      <c r="L15" s="13"/>
      <c r="M15" s="13"/>
      <c r="N15" s="13"/>
      <c r="O15" s="13"/>
      <c r="P15" s="13"/>
      <c r="Q15" s="13"/>
    </row>
    <row r="16" spans="1:17" x14ac:dyDescent="0.25">
      <c r="A16" s="10" t="s">
        <v>362</v>
      </c>
      <c r="B16" s="2">
        <v>17</v>
      </c>
      <c r="C16" s="22">
        <f>C3*$B16</f>
        <v>8160</v>
      </c>
      <c r="D16" s="22">
        <f>D3*$B16</f>
        <v>7915.2</v>
      </c>
      <c r="E16" s="22">
        <f>E3*$B16</f>
        <v>7677.7439999999988</v>
      </c>
      <c r="F16" s="22">
        <f>F3*$B16</f>
        <v>7447.4116799999983</v>
      </c>
      <c r="G16" s="22">
        <f>G3*$B16</f>
        <v>7223.9893295999991</v>
      </c>
      <c r="H16" s="22">
        <f>H3*$B16</f>
        <v>7007.2696497119987</v>
      </c>
      <c r="I16" s="13"/>
      <c r="J16" s="13"/>
      <c r="K16" s="13"/>
      <c r="L16" s="13"/>
      <c r="M16" s="13"/>
      <c r="N16" s="13"/>
      <c r="O16" s="13"/>
      <c r="P16" s="13"/>
      <c r="Q16" s="13"/>
    </row>
    <row r="17" spans="1:17" x14ac:dyDescent="0.25">
      <c r="A17" s="10" t="s">
        <v>363</v>
      </c>
      <c r="B17" s="22"/>
      <c r="C17" s="22">
        <f>C4*$B16</f>
        <v>3264</v>
      </c>
      <c r="D17" s="22">
        <f>D4*$B16</f>
        <v>3166.08</v>
      </c>
      <c r="E17" s="22">
        <f>E4*$B16</f>
        <v>3071.0975999999996</v>
      </c>
      <c r="F17" s="22">
        <f>F4*$B16</f>
        <v>2978.9646719999996</v>
      </c>
      <c r="G17" s="22">
        <f>G4*$B16</f>
        <v>2889.5957318399996</v>
      </c>
      <c r="H17" s="22">
        <f>H4*$B16</f>
        <v>2802.9078598847996</v>
      </c>
      <c r="I17" s="13"/>
      <c r="J17" s="13"/>
      <c r="K17" s="13"/>
      <c r="L17" s="13"/>
      <c r="M17" s="13"/>
      <c r="N17" s="13"/>
      <c r="O17" s="13"/>
      <c r="P17" s="13"/>
      <c r="Q17" s="13"/>
    </row>
    <row r="18" spans="1:17" x14ac:dyDescent="0.25">
      <c r="A18" s="10" t="s">
        <v>364</v>
      </c>
      <c r="B18" s="2">
        <v>14</v>
      </c>
      <c r="C18" s="22">
        <f>C5*$B18</f>
        <v>24884.064796305196</v>
      </c>
      <c r="D18" s="22">
        <f>D5*$B18</f>
        <v>21252.254796305206</v>
      </c>
      <c r="E18" s="22">
        <f>E5*$B18</f>
        <v>18979.281835305199</v>
      </c>
      <c r="F18" s="22">
        <f>F5*$B18</f>
        <v>15193.04941967856</v>
      </c>
      <c r="G18" s="22">
        <f>G5*$B18</f>
        <v>14754.31063830026</v>
      </c>
      <c r="H18" s="22">
        <f>H5*$B18</f>
        <v>13985.23843282744</v>
      </c>
      <c r="I18" s="13"/>
      <c r="J18" s="13"/>
      <c r="K18" s="13"/>
      <c r="L18" s="13"/>
      <c r="M18" s="13"/>
      <c r="N18" s="13"/>
      <c r="O18" s="13"/>
      <c r="P18" s="13"/>
      <c r="Q18" s="13"/>
    </row>
    <row r="19" spans="1:17" x14ac:dyDescent="0.25">
      <c r="A19" s="10" t="s">
        <v>365</v>
      </c>
      <c r="B19" s="22"/>
      <c r="C19" s="22">
        <f>C6*$B18</f>
        <v>24478.0647963052</v>
      </c>
      <c r="D19" s="22">
        <f>D6*$B18</f>
        <v>21616.7699963052</v>
      </c>
      <c r="E19" s="22">
        <f>E6*$B18</f>
        <v>19639.072088245201</v>
      </c>
      <c r="F19" s="22">
        <f>F6*$B18</f>
        <v>16637.657035097593</v>
      </c>
      <c r="G19" s="22">
        <f>G6*$B18</f>
        <v>15878.138661826084</v>
      </c>
      <c r="H19" s="22">
        <f>H6*$B18</f>
        <v>14113.237985358122</v>
      </c>
      <c r="I19" s="13"/>
      <c r="J19" s="13"/>
      <c r="K19" s="13"/>
      <c r="L19" s="13"/>
      <c r="M19" s="13"/>
      <c r="N19" s="13"/>
      <c r="O19" s="13"/>
      <c r="P19" s="13"/>
      <c r="Q19" s="13"/>
    </row>
    <row r="20" spans="1:17" x14ac:dyDescent="0.25">
      <c r="A20" s="10" t="s">
        <v>366</v>
      </c>
      <c r="B20" s="2">
        <v>7</v>
      </c>
      <c r="C20" s="22">
        <f>C7*$B20</f>
        <v>840</v>
      </c>
      <c r="D20" s="22">
        <f>D7*$B20</f>
        <v>814.8</v>
      </c>
      <c r="E20" s="22">
        <f>E7*$B20</f>
        <v>790.35599999999988</v>
      </c>
      <c r="F20" s="22">
        <f>F7*$B20</f>
        <v>766.64531999999986</v>
      </c>
      <c r="G20" s="22">
        <f>G7*$B20</f>
        <v>743.64596039999992</v>
      </c>
      <c r="H20" s="22">
        <f>H7*$B20</f>
        <v>721.33658158799994</v>
      </c>
      <c r="I20" s="13"/>
      <c r="J20" s="13"/>
      <c r="K20" s="13"/>
      <c r="L20" s="13"/>
      <c r="M20" s="13"/>
      <c r="N20" s="13"/>
      <c r="O20" s="13"/>
      <c r="P20" s="13"/>
      <c r="Q20" s="13"/>
    </row>
    <row r="21" spans="1:17" x14ac:dyDescent="0.25">
      <c r="A21" s="10" t="s">
        <v>367</v>
      </c>
      <c r="B21" s="22"/>
      <c r="C21" s="22">
        <f>C8*$B20</f>
        <v>336</v>
      </c>
      <c r="D21" s="22">
        <f>D8*$B20</f>
        <v>325.92</v>
      </c>
      <c r="E21" s="22">
        <f>E8*$B20</f>
        <v>316.14239999999995</v>
      </c>
      <c r="F21" s="22">
        <f>F8*$B20</f>
        <v>306.65812799999992</v>
      </c>
      <c r="G21" s="22">
        <f>G8*$B20</f>
        <v>297.45838415999992</v>
      </c>
      <c r="H21" s="22">
        <f>H8*$B20</f>
        <v>288.53463263519996</v>
      </c>
      <c r="I21" s="13"/>
      <c r="J21" s="13"/>
      <c r="K21" s="13"/>
      <c r="L21" s="13"/>
      <c r="M21" s="13"/>
      <c r="N21" s="13"/>
      <c r="O21" s="13"/>
      <c r="P21" s="13"/>
      <c r="Q21" s="13"/>
    </row>
    <row r="22" spans="1:17" x14ac:dyDescent="0.25">
      <c r="A22" s="10" t="s">
        <v>368</v>
      </c>
      <c r="B22" s="2">
        <v>4</v>
      </c>
      <c r="C22" s="22">
        <f>C9*$B22</f>
        <v>9763.1259241663665</v>
      </c>
      <c r="D22" s="22">
        <f>D9*$B22</f>
        <v>9183.425924166364</v>
      </c>
      <c r="E22" s="22">
        <f>E9*$B22</f>
        <v>8470.6210601663661</v>
      </c>
      <c r="F22" s="22">
        <f>F9*$B22</f>
        <v>7764.193846731644</v>
      </c>
      <c r="G22" s="22">
        <f>G9*$B22</f>
        <v>6956.4549818411615</v>
      </c>
      <c r="H22" s="22">
        <f>H9*$B22</f>
        <v>5135.3357818154518</v>
      </c>
      <c r="I22" s="13"/>
      <c r="J22" s="13"/>
      <c r="K22" s="13"/>
      <c r="L22" s="13"/>
      <c r="M22" s="13"/>
      <c r="N22" s="13"/>
      <c r="O22" s="13"/>
      <c r="P22" s="13"/>
      <c r="Q22" s="13"/>
    </row>
    <row r="23" spans="1:17" x14ac:dyDescent="0.25">
      <c r="A23" s="10" t="s">
        <v>369</v>
      </c>
      <c r="B23" s="25"/>
      <c r="C23" s="5">
        <f>C10*$B22</f>
        <v>9701.1259241663665</v>
      </c>
      <c r="D23" s="5">
        <f>D10*$B22</f>
        <v>9020.3627241663653</v>
      </c>
      <c r="E23" s="5">
        <f>E10*$B22</f>
        <v>8289.9062747263652</v>
      </c>
      <c r="F23" s="5">
        <f>F10*$B22</f>
        <v>7508.1532996748638</v>
      </c>
      <c r="G23" s="5">
        <f>G10*$B22</f>
        <v>6752.6570356122329</v>
      </c>
      <c r="H23" s="5">
        <f>H10*$B22</f>
        <v>4218.8641536033565</v>
      </c>
      <c r="I23" s="13"/>
      <c r="J23" s="13"/>
      <c r="K23" s="13"/>
      <c r="L23" s="13"/>
      <c r="M23" s="13"/>
      <c r="N23" s="13"/>
      <c r="O23" s="13"/>
      <c r="P23" s="13"/>
      <c r="Q23" s="13"/>
    </row>
    <row r="24" spans="1:17" x14ac:dyDescent="0.25">
      <c r="A24" s="130" t="s">
        <v>372</v>
      </c>
      <c r="B24" s="25"/>
      <c r="C24" s="22">
        <f>C16+C18+C20+C22</f>
        <v>43647.190720471561</v>
      </c>
      <c r="D24" s="22">
        <f t="shared" ref="D24:H24" si="3">D16+D18+D20+D22</f>
        <v>39165.680720471573</v>
      </c>
      <c r="E24" s="22">
        <f t="shared" si="3"/>
        <v>35918.002895471567</v>
      </c>
      <c r="F24" s="22">
        <f t="shared" si="3"/>
        <v>31171.300266410202</v>
      </c>
      <c r="G24" s="22">
        <f t="shared" si="3"/>
        <v>29678.400910141423</v>
      </c>
      <c r="H24" s="22">
        <f t="shared" si="3"/>
        <v>26849.180445942889</v>
      </c>
      <c r="I24" s="13"/>
      <c r="J24" s="13"/>
      <c r="K24" s="13"/>
      <c r="L24" s="13"/>
      <c r="M24" s="13"/>
      <c r="N24" s="13"/>
      <c r="O24" s="13"/>
      <c r="P24" s="13"/>
      <c r="Q24" s="13"/>
    </row>
    <row r="25" spans="1:17" x14ac:dyDescent="0.25">
      <c r="A25" s="130" t="s">
        <v>373</v>
      </c>
      <c r="B25" s="25"/>
      <c r="C25" s="22">
        <f>C17+C19+C21+C23</f>
        <v>37779.190720471568</v>
      </c>
      <c r="D25" s="22">
        <f t="shared" ref="D25:H25" si="4">D17+D19+D21+D23</f>
        <v>34129.132720471564</v>
      </c>
      <c r="E25" s="22">
        <f t="shared" si="4"/>
        <v>31316.218362971566</v>
      </c>
      <c r="F25" s="22">
        <f t="shared" si="4"/>
        <v>27431.433134772455</v>
      </c>
      <c r="G25" s="22">
        <f t="shared" si="4"/>
        <v>25817.849813438315</v>
      </c>
      <c r="H25" s="22">
        <f t="shared" si="4"/>
        <v>21423.54463148148</v>
      </c>
      <c r="I25" s="13"/>
      <c r="J25" s="13"/>
      <c r="K25" s="13"/>
      <c r="L25" s="13"/>
      <c r="M25" s="13"/>
      <c r="N25" s="13"/>
      <c r="O25" s="13"/>
      <c r="P25" s="13"/>
      <c r="Q25" s="13"/>
    </row>
    <row r="26" spans="1:17" x14ac:dyDescent="0.25">
      <c r="A26" s="20" t="s">
        <v>41</v>
      </c>
      <c r="B26" s="25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x14ac:dyDescent="0.25">
      <c r="A27" s="10" t="s">
        <v>374</v>
      </c>
      <c r="B27" s="2">
        <v>16</v>
      </c>
      <c r="C27" s="22">
        <f>C24/$B27</f>
        <v>2727.9494200294725</v>
      </c>
      <c r="D27" s="22">
        <f t="shared" ref="D27:H27" si="5">D24/$B27</f>
        <v>2447.8550450294733</v>
      </c>
      <c r="E27" s="22">
        <f t="shared" si="5"/>
        <v>2244.8751809669729</v>
      </c>
      <c r="F27" s="22">
        <f t="shared" si="5"/>
        <v>1948.2062666506376</v>
      </c>
      <c r="G27" s="22">
        <f t="shared" si="5"/>
        <v>1854.9000568838389</v>
      </c>
      <c r="H27" s="22">
        <f t="shared" si="5"/>
        <v>1678.0737778714306</v>
      </c>
      <c r="I27" s="13"/>
      <c r="J27" s="13"/>
      <c r="K27" s="13"/>
      <c r="L27" s="13"/>
      <c r="M27" s="13"/>
      <c r="N27" s="13"/>
      <c r="O27" s="13"/>
      <c r="P27" s="13"/>
      <c r="Q27" s="13"/>
    </row>
    <row r="28" spans="1:17" x14ac:dyDescent="0.25">
      <c r="A28" s="247" t="s">
        <v>375</v>
      </c>
      <c r="B28" s="25"/>
      <c r="C28" s="22">
        <f>C25/$B27</f>
        <v>2361.199420029473</v>
      </c>
      <c r="D28" s="22">
        <f>D25/$B27</f>
        <v>2133.0707950294727</v>
      </c>
      <c r="E28" s="22">
        <f>E25/$B27</f>
        <v>1957.2636476857228</v>
      </c>
      <c r="F28" s="22">
        <f>F25/$B27</f>
        <v>1714.4645709232784</v>
      </c>
      <c r="G28" s="22">
        <f>G25/$B27</f>
        <v>1613.6156133398947</v>
      </c>
      <c r="H28" s="22">
        <f>H25/$B27</f>
        <v>1338.9715394675925</v>
      </c>
      <c r="I28" s="13"/>
      <c r="J28" s="13"/>
      <c r="K28" s="13"/>
      <c r="L28" s="13"/>
      <c r="M28" s="13"/>
      <c r="N28" s="13"/>
      <c r="O28" s="13"/>
      <c r="P28" s="13"/>
      <c r="Q28" s="13"/>
    </row>
    <row r="29" spans="1:17" x14ac:dyDescent="0.25">
      <c r="A29" s="13"/>
      <c r="B29" s="16"/>
      <c r="C29" s="16"/>
      <c r="D29" s="16"/>
      <c r="E29" s="16"/>
      <c r="F29" s="16"/>
      <c r="G29" s="16"/>
      <c r="H29" s="16"/>
      <c r="I29" s="13"/>
      <c r="J29" s="13"/>
      <c r="K29" s="13"/>
      <c r="L29" s="13"/>
      <c r="M29" s="13"/>
      <c r="N29" s="13"/>
      <c r="O29" s="13"/>
      <c r="P29" s="13"/>
      <c r="Q29" s="13"/>
    </row>
    <row r="30" spans="1:17" x14ac:dyDescent="0.25">
      <c r="A30" s="9" t="s">
        <v>376</v>
      </c>
      <c r="B30" s="89" t="str">
        <f>"Annual Rate above Inflation, "&amp;TEXT(Summary!B26,"0.0%")</f>
        <v>Annual Rate above Inflation, 2.0%</v>
      </c>
      <c r="C30" s="75"/>
      <c r="D30" s="75"/>
      <c r="E30" s="6"/>
      <c r="F30" s="6"/>
      <c r="G30" s="6"/>
      <c r="H30" s="6"/>
      <c r="I30" s="13"/>
      <c r="J30" s="13"/>
      <c r="K30" s="13"/>
      <c r="L30" s="13"/>
      <c r="M30" s="13"/>
      <c r="N30" s="13"/>
      <c r="O30" s="13"/>
      <c r="P30" s="13"/>
      <c r="Q30" s="13"/>
    </row>
    <row r="31" spans="1:17" x14ac:dyDescent="0.25">
      <c r="A31" s="10" t="s">
        <v>377</v>
      </c>
      <c r="B31" s="179">
        <f>Summary!B4</f>
        <v>0.02</v>
      </c>
      <c r="C31" s="26">
        <v>5000</v>
      </c>
      <c r="D31" s="6">
        <f>C32*(1+$B31+Summary!$B$26)</f>
        <v>5200</v>
      </c>
      <c r="E31" s="6">
        <f>D32*(1+$B31+Summary!$B$26)</f>
        <v>5408</v>
      </c>
      <c r="F31" s="6">
        <f>E32*(1+$B31+Summary!$B$26)</f>
        <v>5624.3200000000006</v>
      </c>
      <c r="G31" s="6">
        <f>F32*(1+$B31+Summary!$B$26)</f>
        <v>5849.2928000000011</v>
      </c>
      <c r="H31" s="6">
        <f>G32*(1+$B31+Summary!$B$26)</f>
        <v>6083.2645120000016</v>
      </c>
      <c r="I31" s="13"/>
      <c r="J31" s="13"/>
      <c r="K31" s="13"/>
      <c r="L31" s="13"/>
      <c r="M31" s="13"/>
      <c r="N31" s="13"/>
      <c r="O31" s="13"/>
      <c r="P31" s="13"/>
      <c r="Q31" s="13"/>
    </row>
    <row r="32" spans="1:17" x14ac:dyDescent="0.25">
      <c r="A32" s="10" t="s">
        <v>378</v>
      </c>
      <c r="B32" s="25"/>
      <c r="C32" s="6">
        <f>C31</f>
        <v>5000</v>
      </c>
      <c r="D32" s="6">
        <f>D31</f>
        <v>5200</v>
      </c>
      <c r="E32" s="6">
        <f>E31</f>
        <v>5408</v>
      </c>
      <c r="F32" s="6">
        <f>F31</f>
        <v>5624.3200000000006</v>
      </c>
      <c r="G32" s="6">
        <f>G31</f>
        <v>5849.2928000000011</v>
      </c>
      <c r="H32" s="6">
        <f>H31</f>
        <v>6083.2645120000016</v>
      </c>
      <c r="I32" s="13"/>
      <c r="J32" s="13"/>
      <c r="K32" s="13"/>
      <c r="L32" s="13"/>
      <c r="M32" s="13"/>
      <c r="N32" s="13"/>
      <c r="O32" s="13"/>
      <c r="P32" s="13"/>
      <c r="Q32" s="13"/>
    </row>
    <row r="33" spans="1:17" x14ac:dyDescent="0.25">
      <c r="A33" s="10" t="s">
        <v>379</v>
      </c>
      <c r="B33" s="180">
        <f>B31</f>
        <v>0.02</v>
      </c>
      <c r="C33" s="26">
        <v>450</v>
      </c>
      <c r="D33" s="6">
        <f>C34*(1+$B33+Summary!$B$26)</f>
        <v>468</v>
      </c>
      <c r="E33" s="6">
        <f>D34*(1+$B33+Summary!$B$26)</f>
        <v>486.72</v>
      </c>
      <c r="F33" s="6">
        <f>E34*(1+$B33+Summary!$B$26)</f>
        <v>506.18880000000007</v>
      </c>
      <c r="G33" s="6">
        <f>F34*(1+$B33+Summary!$B$26)</f>
        <v>526.43635200000006</v>
      </c>
      <c r="H33" s="6">
        <f>G34*(1+$B33+Summary!$B$26)</f>
        <v>547.49380608000013</v>
      </c>
      <c r="I33" s="13"/>
      <c r="J33" s="13"/>
      <c r="K33" s="13"/>
      <c r="L33" s="13"/>
      <c r="M33" s="13"/>
      <c r="N33" s="13"/>
      <c r="O33" s="13"/>
      <c r="P33" s="13"/>
      <c r="Q33" s="13"/>
    </row>
    <row r="34" spans="1:17" s="30" customFormat="1" x14ac:dyDescent="0.25">
      <c r="A34" s="10" t="s">
        <v>380</v>
      </c>
      <c r="B34" s="25"/>
      <c r="C34" s="18">
        <f>C33</f>
        <v>450</v>
      </c>
      <c r="D34" s="18">
        <f>D33</f>
        <v>468</v>
      </c>
      <c r="E34" s="18">
        <f>E33</f>
        <v>486.72</v>
      </c>
      <c r="F34" s="18">
        <f>F33</f>
        <v>506.18880000000007</v>
      </c>
      <c r="G34" s="18">
        <f>G33</f>
        <v>526.43635200000006</v>
      </c>
      <c r="H34" s="18">
        <f>H33</f>
        <v>547.49380608000013</v>
      </c>
      <c r="I34" s="29"/>
      <c r="J34" s="13"/>
      <c r="K34" s="13"/>
      <c r="L34" s="13"/>
      <c r="M34" s="13"/>
      <c r="N34" s="13"/>
      <c r="O34" s="13"/>
      <c r="P34" s="13"/>
      <c r="Q34" s="13"/>
    </row>
    <row r="35" spans="1:17" s="30" customFormat="1" x14ac:dyDescent="0.25">
      <c r="A35" s="16"/>
      <c r="B35" s="28"/>
      <c r="C35" s="25"/>
      <c r="D35" s="25"/>
      <c r="E35" s="25"/>
      <c r="F35" s="25"/>
      <c r="G35" s="25"/>
      <c r="H35" s="25"/>
      <c r="I35" s="29"/>
      <c r="J35" s="13"/>
      <c r="K35" s="13"/>
      <c r="L35" s="13"/>
      <c r="M35" s="13"/>
      <c r="N35" s="13"/>
      <c r="O35" s="13"/>
      <c r="P35" s="13"/>
      <c r="Q35" s="13"/>
    </row>
    <row r="36" spans="1:17" x14ac:dyDescent="0.25">
      <c r="A36" s="9" t="s">
        <v>42</v>
      </c>
      <c r="B36" s="11" t="s">
        <v>359</v>
      </c>
      <c r="C36" s="246">
        <f>C48</f>
        <v>2022</v>
      </c>
      <c r="D36" s="246">
        <f t="shared" ref="D36:H36" si="6">D48</f>
        <v>2023</v>
      </c>
      <c r="E36" s="246">
        <f t="shared" si="6"/>
        <v>2024</v>
      </c>
      <c r="F36" s="246">
        <f t="shared" si="6"/>
        <v>2025</v>
      </c>
      <c r="G36" s="246">
        <f t="shared" si="6"/>
        <v>2026</v>
      </c>
      <c r="H36" s="246">
        <f t="shared" si="6"/>
        <v>2027</v>
      </c>
      <c r="I36" s="13"/>
      <c r="J36" s="13"/>
      <c r="K36" s="13"/>
      <c r="L36" s="13"/>
      <c r="M36" s="13"/>
      <c r="N36" s="13"/>
      <c r="O36" s="13"/>
      <c r="P36" s="13"/>
      <c r="Q36" s="13"/>
    </row>
    <row r="37" spans="1:17" x14ac:dyDescent="0.25">
      <c r="A37" s="10" t="s">
        <v>381</v>
      </c>
      <c r="B37" s="13"/>
      <c r="C37" s="6">
        <f>C31*(C3+C5)</f>
        <v>11287165.998680428</v>
      </c>
      <c r="D37" s="6">
        <f>D31*(D3+D5)</f>
        <v>10314814.638627646</v>
      </c>
      <c r="E37" s="6">
        <f>E31*(E3+E5)</f>
        <v>9773851.2963807527</v>
      </c>
      <c r="F37" s="6">
        <f>F31*(F3+F5)</f>
        <v>8567531.4686818384</v>
      </c>
      <c r="G37" s="6">
        <f>G31*(G3+G5)</f>
        <v>8650050.4772076849</v>
      </c>
      <c r="H37" s="6">
        <f>H31*(H3+H5)</f>
        <v>8584325.3195807915</v>
      </c>
      <c r="I37" s="13"/>
      <c r="J37" s="13"/>
      <c r="K37" s="13"/>
      <c r="L37" s="13"/>
      <c r="M37" s="13"/>
      <c r="N37" s="13"/>
      <c r="O37" s="13"/>
      <c r="P37" s="13"/>
      <c r="Q37" s="13"/>
    </row>
    <row r="38" spans="1:17" x14ac:dyDescent="0.25">
      <c r="A38" s="10" t="s">
        <v>382</v>
      </c>
      <c r="B38" s="13"/>
      <c r="C38" s="6">
        <f>C32*(C4+C6)</f>
        <v>9702165.9986804295</v>
      </c>
      <c r="D38" s="6">
        <f>D32*(D4+D6)</f>
        <v>8997533.9986276459</v>
      </c>
      <c r="E38" s="6">
        <f>E32*(E4+E6)</f>
        <v>8563263.3319164328</v>
      </c>
      <c r="F38" s="6">
        <f>F32*(F4+F6)</f>
        <v>7669532.4825302707</v>
      </c>
      <c r="G38" s="6">
        <f>G32*(G4+G6)</f>
        <v>7628232.2592967665</v>
      </c>
      <c r="H38" s="6">
        <f>H32*(H4+H6)</f>
        <v>7135458.5510914875</v>
      </c>
      <c r="I38" s="13"/>
      <c r="J38" s="13"/>
      <c r="K38" s="13"/>
      <c r="L38" s="13"/>
      <c r="M38" s="13"/>
      <c r="N38" s="13"/>
      <c r="O38" s="13"/>
      <c r="P38" s="13"/>
      <c r="Q38" s="13"/>
    </row>
    <row r="39" spans="1:17" x14ac:dyDescent="0.25">
      <c r="A39" s="10" t="s">
        <v>383</v>
      </c>
      <c r="B39" s="13"/>
      <c r="C39" s="18">
        <f>C33*(C20+C22)</f>
        <v>4771406.6658748649</v>
      </c>
      <c r="D39" s="18">
        <f t="shared" ref="D39:H39" si="7">D33*(D20+D22)</f>
        <v>4679169.732509858</v>
      </c>
      <c r="E39" s="18">
        <f t="shared" si="7"/>
        <v>4507502.7547241738</v>
      </c>
      <c r="F39" s="18">
        <f t="shared" si="7"/>
        <v>4318215.240800892</v>
      </c>
      <c r="G39" s="18">
        <f t="shared" si="7"/>
        <v>4053613.0500652003</v>
      </c>
      <c r="H39" s="18">
        <f t="shared" si="7"/>
        <v>3206491.8432033053</v>
      </c>
      <c r="I39" s="13"/>
      <c r="J39" s="13"/>
      <c r="K39" s="13"/>
      <c r="L39" s="13"/>
      <c r="M39" s="13"/>
      <c r="N39" s="13"/>
      <c r="O39" s="13"/>
      <c r="P39" s="13"/>
      <c r="Q39" s="13"/>
    </row>
    <row r="40" spans="1:17" x14ac:dyDescent="0.25">
      <c r="A40" s="10" t="s">
        <v>384</v>
      </c>
      <c r="B40" s="13"/>
      <c r="C40" s="19">
        <f>C34*(C21+C23)</f>
        <v>4516706.6658748649</v>
      </c>
      <c r="D40" s="19">
        <f>D34*(D21+D23)</f>
        <v>4374060.3149098586</v>
      </c>
      <c r="E40" s="19">
        <f>E34*(E21+E23)</f>
        <v>4188736.0109628169</v>
      </c>
      <c r="F40" s="19">
        <f>F34*(F21+F23)</f>
        <v>3955770.0188010265</v>
      </c>
      <c r="G40" s="19">
        <f>G34*(G21+G23)</f>
        <v>3711437.0427638432</v>
      </c>
      <c r="H40" s="19">
        <f>H34*(H21+H23)</f>
        <v>2467772.91699812</v>
      </c>
      <c r="I40" s="13"/>
      <c r="J40" s="13"/>
      <c r="K40" s="13"/>
      <c r="L40" s="13"/>
      <c r="M40" s="13"/>
      <c r="N40" s="13"/>
      <c r="O40" s="13"/>
      <c r="P40" s="13"/>
      <c r="Q40" s="13"/>
    </row>
    <row r="41" spans="1:17" x14ac:dyDescent="0.25">
      <c r="A41" s="130" t="s">
        <v>372</v>
      </c>
      <c r="B41" s="13"/>
      <c r="C41" s="6">
        <f>C37+C39</f>
        <v>16058572.664555293</v>
      </c>
      <c r="D41" s="6">
        <f t="shared" ref="D41:H41" si="8">D37+D39</f>
        <v>14993984.371137504</v>
      </c>
      <c r="E41" s="6">
        <f t="shared" si="8"/>
        <v>14281354.051104926</v>
      </c>
      <c r="F41" s="6">
        <f t="shared" si="8"/>
        <v>12885746.709482729</v>
      </c>
      <c r="G41" s="6">
        <f t="shared" si="8"/>
        <v>12703663.527272886</v>
      </c>
      <c r="H41" s="6">
        <f t="shared" si="8"/>
        <v>11790817.162784096</v>
      </c>
      <c r="I41" s="13"/>
      <c r="J41" s="13"/>
      <c r="K41" s="13"/>
      <c r="L41" s="13"/>
      <c r="M41" s="13"/>
      <c r="N41" s="13"/>
      <c r="O41" s="13"/>
      <c r="P41" s="13"/>
      <c r="Q41" s="13"/>
    </row>
    <row r="42" spans="1:17" x14ac:dyDescent="0.25">
      <c r="A42" s="130" t="s">
        <v>373</v>
      </c>
      <c r="B42" s="13"/>
      <c r="C42" s="6">
        <f>C38+C40</f>
        <v>14218872.664555294</v>
      </c>
      <c r="D42" s="6">
        <f t="shared" ref="D42:H42" si="9">D38+D40</f>
        <v>13371594.313537505</v>
      </c>
      <c r="E42" s="6">
        <f t="shared" si="9"/>
        <v>12751999.342879251</v>
      </c>
      <c r="F42" s="6">
        <f t="shared" si="9"/>
        <v>11625302.501331298</v>
      </c>
      <c r="G42" s="6">
        <f t="shared" si="9"/>
        <v>11339669.30206061</v>
      </c>
      <c r="H42" s="6">
        <f t="shared" si="9"/>
        <v>9603231.4680896066</v>
      </c>
      <c r="I42" s="13"/>
      <c r="J42" s="13"/>
      <c r="K42" s="13"/>
      <c r="L42" s="13"/>
      <c r="M42" s="13"/>
      <c r="N42" s="13"/>
      <c r="O42" s="13"/>
      <c r="P42" s="13"/>
      <c r="Q42" s="13"/>
    </row>
    <row r="43" spans="1:17" x14ac:dyDescent="0.25">
      <c r="A43" s="83"/>
      <c r="B43" s="11" t="s">
        <v>359</v>
      </c>
      <c r="C43" s="135">
        <f>Summary!F3</f>
        <v>2022</v>
      </c>
      <c r="D43" s="135">
        <f>Summary!G3</f>
        <v>2023</v>
      </c>
      <c r="E43" s="135">
        <f>Summary!H3</f>
        <v>2024</v>
      </c>
      <c r="F43" s="135">
        <f>Summary!I3</f>
        <v>2025</v>
      </c>
      <c r="G43" s="135">
        <f>Summary!J3</f>
        <v>2026</v>
      </c>
      <c r="H43" s="135">
        <f>Summary!K3</f>
        <v>2027</v>
      </c>
      <c r="I43" s="13"/>
      <c r="J43" s="13"/>
      <c r="K43" s="13"/>
      <c r="L43" s="13"/>
      <c r="M43" s="13"/>
      <c r="N43" s="13"/>
      <c r="O43" s="13"/>
      <c r="P43" s="13"/>
      <c r="Q43" s="13"/>
    </row>
    <row r="44" spans="1:17" x14ac:dyDescent="0.25">
      <c r="A44" s="40" t="s">
        <v>195</v>
      </c>
      <c r="B44" s="13"/>
      <c r="C44" s="6">
        <f>C41+C42</f>
        <v>30277445.329110585</v>
      </c>
      <c r="D44" s="6">
        <f>D41+D42</f>
        <v>28365578.684675008</v>
      </c>
      <c r="E44" s="6">
        <f>E41+E42</f>
        <v>27033353.393984176</v>
      </c>
      <c r="F44" s="6">
        <f>F41+F42</f>
        <v>24511049.210814029</v>
      </c>
      <c r="G44" s="6">
        <f>G41+G42</f>
        <v>24043332.829333495</v>
      </c>
      <c r="H44" s="6">
        <f>H41+H42</f>
        <v>21394048.630873702</v>
      </c>
      <c r="I44" s="16"/>
      <c r="J44" s="13"/>
      <c r="K44" s="13"/>
      <c r="L44" s="13"/>
      <c r="M44" s="13"/>
      <c r="N44" s="13"/>
      <c r="O44" s="13"/>
      <c r="P44" s="13"/>
      <c r="Q44" s="13"/>
    </row>
    <row r="45" spans="1:17" x14ac:dyDescent="0.25">
      <c r="A45" s="130" t="s">
        <v>194</v>
      </c>
      <c r="B45" s="35"/>
      <c r="C45" s="4">
        <f>C44-ScholTuit!C31</f>
        <v>30227445.329110585</v>
      </c>
      <c r="D45" s="4">
        <f>D44-ScholTuit!D31</f>
        <v>28314578.684675008</v>
      </c>
      <c r="E45" s="4">
        <f>E44-ScholTuit!E31</f>
        <v>26981333.393984176</v>
      </c>
      <c r="F45" s="4">
        <f>F44-ScholTuit!F31</f>
        <v>24457988.81081403</v>
      </c>
      <c r="G45" s="4">
        <f>G44-ScholTuit!G31</f>
        <v>23989211.221333496</v>
      </c>
      <c r="H45" s="4">
        <f>H44-ScholTuit!H31</f>
        <v>21338844.590713702</v>
      </c>
      <c r="I45" s="16"/>
      <c r="J45" s="16"/>
      <c r="K45" s="16"/>
      <c r="L45" s="16"/>
      <c r="M45" s="16"/>
      <c r="N45" s="16"/>
      <c r="O45" s="16"/>
      <c r="P45" s="16"/>
      <c r="Q45" s="16"/>
    </row>
    <row r="46" spans="1:17" x14ac:dyDescent="0.25">
      <c r="A46" s="193" t="s">
        <v>223</v>
      </c>
      <c r="B46" s="143" t="s">
        <v>202</v>
      </c>
      <c r="C46" s="13"/>
      <c r="D46" s="13"/>
      <c r="E46" s="13"/>
      <c r="F46" s="13"/>
      <c r="G46" s="13"/>
      <c r="H46" s="13"/>
      <c r="I46" s="13"/>
      <c r="J46" s="16"/>
      <c r="K46" s="16"/>
      <c r="L46" s="16"/>
      <c r="M46" s="16"/>
      <c r="N46" s="16"/>
      <c r="O46" s="16"/>
      <c r="P46" s="16"/>
      <c r="Q46" s="16"/>
    </row>
    <row r="47" spans="1:17" x14ac:dyDescent="0.25">
      <c r="A47" s="193"/>
      <c r="B47" s="12" t="s">
        <v>253</v>
      </c>
      <c r="C47" s="243"/>
      <c r="D47" s="244" t="s">
        <v>385</v>
      </c>
      <c r="E47" s="244"/>
      <c r="F47" s="244"/>
      <c r="G47" s="244"/>
      <c r="H47" s="244"/>
      <c r="I47" s="13"/>
      <c r="J47" s="13"/>
      <c r="K47" s="13"/>
      <c r="L47" s="13"/>
      <c r="M47" s="13"/>
      <c r="N47" s="13"/>
      <c r="O47" s="13"/>
      <c r="P47" s="13"/>
      <c r="Q47" s="13"/>
    </row>
    <row r="48" spans="1:17" x14ac:dyDescent="0.25">
      <c r="A48" s="13"/>
      <c r="B48" s="11" t="s">
        <v>359</v>
      </c>
      <c r="C48" s="135">
        <f>Summary!F3</f>
        <v>2022</v>
      </c>
      <c r="D48" s="135">
        <f>Summary!G3</f>
        <v>2023</v>
      </c>
      <c r="E48" s="135">
        <f>Summary!H3</f>
        <v>2024</v>
      </c>
      <c r="F48" s="135">
        <f>Summary!I3</f>
        <v>2025</v>
      </c>
      <c r="G48" s="135">
        <f>Summary!J3</f>
        <v>2026</v>
      </c>
      <c r="H48" s="135">
        <f>Summary!K3</f>
        <v>2027</v>
      </c>
      <c r="I48" s="13"/>
      <c r="J48" s="13"/>
      <c r="K48" s="13"/>
      <c r="L48" s="13"/>
      <c r="M48" s="13"/>
      <c r="N48" s="13"/>
      <c r="O48" s="13"/>
      <c r="P48" s="13"/>
      <c r="Q48" s="13"/>
    </row>
    <row r="49" spans="1:17" x14ac:dyDescent="0.25">
      <c r="A49" s="40" t="s">
        <v>199</v>
      </c>
      <c r="B49" s="137">
        <f>ScholTuit!B25</f>
        <v>-0.02</v>
      </c>
      <c r="C49" s="168">
        <v>0</v>
      </c>
      <c r="D49" s="138">
        <f>C49*(1+$B49)</f>
        <v>0</v>
      </c>
      <c r="E49" s="138">
        <f>D49*(1+$B49)</f>
        <v>0</v>
      </c>
      <c r="F49" s="138">
        <f>E49*(1+$B49)</f>
        <v>0</v>
      </c>
      <c r="G49" s="138">
        <f>F49*(1+$B49)</f>
        <v>0</v>
      </c>
      <c r="H49" s="138">
        <f>G49*(1+$B49)</f>
        <v>0</v>
      </c>
      <c r="I49" s="13"/>
      <c r="J49" s="13"/>
      <c r="K49" s="13"/>
      <c r="L49" s="13"/>
      <c r="M49" s="13"/>
      <c r="N49" s="13"/>
      <c r="O49" s="13"/>
      <c r="P49" s="13"/>
      <c r="Q49" s="13"/>
    </row>
    <row r="50" spans="1:17" x14ac:dyDescent="0.25">
      <c r="A50" s="40" t="s">
        <v>200</v>
      </c>
      <c r="B50" s="137">
        <f>ScholTuit!B26</f>
        <v>-0.02</v>
      </c>
      <c r="C50" s="168">
        <v>0</v>
      </c>
      <c r="D50" s="138">
        <f>C50*(1+$B50)</f>
        <v>0</v>
      </c>
      <c r="E50" s="138">
        <f>D50*(1+$B50)</f>
        <v>0</v>
      </c>
      <c r="F50" s="138">
        <f>E50*(1+$B50)</f>
        <v>0</v>
      </c>
      <c r="G50" s="138">
        <f>F50*(1+$B50)</f>
        <v>0</v>
      </c>
      <c r="H50" s="138">
        <f>G50*(1+$B50)</f>
        <v>0</v>
      </c>
      <c r="I50" s="13"/>
      <c r="J50" s="13"/>
      <c r="K50" s="13"/>
      <c r="L50" s="13"/>
      <c r="M50" s="13"/>
      <c r="N50" s="13"/>
      <c r="O50" s="13"/>
      <c r="P50" s="13"/>
      <c r="Q50" s="13"/>
    </row>
    <row r="51" spans="1:17" x14ac:dyDescent="0.25">
      <c r="A51" s="40" t="s">
        <v>201</v>
      </c>
      <c r="B51" s="137">
        <f>ScholTuit!B27</f>
        <v>0</v>
      </c>
      <c r="C51" s="168">
        <v>0</v>
      </c>
      <c r="D51" s="138">
        <f>C51*(1+$B51)</f>
        <v>0</v>
      </c>
      <c r="E51" s="138">
        <f>D51*(1+$B51)</f>
        <v>0</v>
      </c>
      <c r="F51" s="138">
        <f>E51*(1+$B51)</f>
        <v>0</v>
      </c>
      <c r="G51" s="138">
        <f>F51*(1+$B51)</f>
        <v>0</v>
      </c>
      <c r="H51" s="138">
        <f>G51*(1+$B51)</f>
        <v>0</v>
      </c>
      <c r="I51" s="13"/>
      <c r="J51" s="13"/>
      <c r="K51" s="13"/>
      <c r="L51" s="13"/>
      <c r="M51" s="13"/>
      <c r="N51" s="13"/>
      <c r="O51" s="13"/>
      <c r="P51" s="13"/>
      <c r="Q51" s="13"/>
    </row>
    <row r="52" spans="1:17" x14ac:dyDescent="0.25">
      <c r="A52" s="8"/>
      <c r="B52" s="40" t="s">
        <v>253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</row>
    <row r="53" spans="1:17" x14ac:dyDescent="0.25">
      <c r="A53" s="40" t="s">
        <v>196</v>
      </c>
      <c r="B53" s="136">
        <v>0</v>
      </c>
      <c r="C53" s="168">
        <v>0</v>
      </c>
      <c r="D53" s="138">
        <f>C53*(1+$B53)</f>
        <v>0</v>
      </c>
      <c r="E53" s="138">
        <f>D53*(1+$B53)</f>
        <v>0</v>
      </c>
      <c r="F53" s="138">
        <f>E53*(1+$B53)</f>
        <v>0</v>
      </c>
      <c r="G53" s="138">
        <f>F53*(1+$B53)</f>
        <v>0</v>
      </c>
      <c r="H53" s="138">
        <f>G53*(1+$B53)</f>
        <v>0</v>
      </c>
      <c r="I53" s="13"/>
      <c r="J53" s="13"/>
      <c r="K53" s="13"/>
      <c r="L53" s="13"/>
      <c r="M53" s="13"/>
      <c r="N53" s="13"/>
      <c r="O53" s="13"/>
      <c r="P53" s="13"/>
      <c r="Q53" s="13"/>
    </row>
    <row r="54" spans="1:17" x14ac:dyDescent="0.25">
      <c r="A54" s="40" t="s">
        <v>197</v>
      </c>
      <c r="B54" s="229">
        <f>Summary!B8</f>
        <v>-0.05</v>
      </c>
      <c r="C54" s="228">
        <v>20000000</v>
      </c>
      <c r="D54" s="138">
        <f>C54*(1+$B54)</f>
        <v>19000000</v>
      </c>
      <c r="E54" s="138">
        <f>D54*(1+$B54)</f>
        <v>18050000</v>
      </c>
      <c r="F54" s="138">
        <f>E54*(1+$B54)</f>
        <v>17147500</v>
      </c>
      <c r="G54" s="138">
        <f>F54*(1+$B54)</f>
        <v>16290125</v>
      </c>
      <c r="H54" s="138">
        <f>G54*(1+$B54)</f>
        <v>15475618.75</v>
      </c>
      <c r="I54" s="13"/>
      <c r="J54" s="13"/>
      <c r="K54" s="13"/>
      <c r="L54" s="13"/>
      <c r="M54" s="13"/>
      <c r="N54" s="13"/>
      <c r="O54" s="13"/>
      <c r="P54" s="13"/>
      <c r="Q54" s="13"/>
    </row>
    <row r="55" spans="1:17" x14ac:dyDescent="0.25">
      <c r="A55" s="40" t="s">
        <v>198</v>
      </c>
      <c r="B55" s="136">
        <v>0</v>
      </c>
      <c r="C55" s="168">
        <v>0</v>
      </c>
      <c r="D55" s="138">
        <f>C55*(1+$B55)</f>
        <v>0</v>
      </c>
      <c r="E55" s="138">
        <f>D55*(1+$B55)</f>
        <v>0</v>
      </c>
      <c r="F55" s="138">
        <f>E55*(1+$B55)</f>
        <v>0</v>
      </c>
      <c r="G55" s="138">
        <f>F55*(1+$B55)</f>
        <v>0</v>
      </c>
      <c r="H55" s="138">
        <f>G55*(1+$B55)</f>
        <v>0</v>
      </c>
      <c r="I55" s="13"/>
      <c r="J55" s="13"/>
      <c r="K55" s="13"/>
      <c r="L55" s="13"/>
      <c r="M55" s="13"/>
      <c r="N55" s="13"/>
      <c r="O55" s="13"/>
      <c r="P55" s="13"/>
      <c r="Q55" s="13"/>
    </row>
    <row r="56" spans="1:17" x14ac:dyDescent="0.25">
      <c r="A56" s="40" t="s">
        <v>288</v>
      </c>
      <c r="B56" s="217">
        <v>0</v>
      </c>
      <c r="C56" s="218">
        <v>0</v>
      </c>
      <c r="D56" s="219">
        <f>C56*(1+$B56)</f>
        <v>0</v>
      </c>
      <c r="E56" s="219">
        <f>D56*(1+$B56)</f>
        <v>0</v>
      </c>
      <c r="F56" s="219">
        <f>E56*(1+$B56)</f>
        <v>0</v>
      </c>
      <c r="G56" s="219">
        <f>F56*(1+$B56)</f>
        <v>0</v>
      </c>
      <c r="H56" s="219">
        <f>G56*(1+$B56)</f>
        <v>0</v>
      </c>
      <c r="I56" s="13"/>
      <c r="J56" s="13"/>
      <c r="K56" s="13"/>
      <c r="L56" s="13"/>
      <c r="M56" s="13"/>
      <c r="N56" s="13"/>
      <c r="O56" s="13"/>
      <c r="P56" s="13"/>
      <c r="Q56" s="13"/>
    </row>
    <row r="57" spans="1:17" x14ac:dyDescent="0.25">
      <c r="A57" s="40" t="s">
        <v>289</v>
      </c>
      <c r="B57" s="217">
        <v>0</v>
      </c>
      <c r="C57" s="218">
        <v>0</v>
      </c>
      <c r="D57" s="219">
        <f>C57*(1+$B57)</f>
        <v>0</v>
      </c>
      <c r="E57" s="219">
        <f>D57*(1+$B57)</f>
        <v>0</v>
      </c>
      <c r="F57" s="219">
        <f>E57*(1+$B57)</f>
        <v>0</v>
      </c>
      <c r="G57" s="219">
        <f>F57*(1+$B57)</f>
        <v>0</v>
      </c>
      <c r="H57" s="219">
        <f>G57*(1+$B57)</f>
        <v>0</v>
      </c>
      <c r="I57" s="13"/>
      <c r="J57" s="13"/>
      <c r="K57" s="13"/>
      <c r="L57" s="13"/>
      <c r="M57" s="13"/>
      <c r="N57" s="13"/>
      <c r="O57" s="13"/>
      <c r="P57" s="13"/>
      <c r="Q57" s="13"/>
    </row>
    <row r="58" spans="1:17" x14ac:dyDescent="0.25">
      <c r="A58" s="40" t="s">
        <v>290</v>
      </c>
      <c r="B58" s="217">
        <v>0</v>
      </c>
      <c r="C58" s="218">
        <v>0</v>
      </c>
      <c r="D58" s="219">
        <f>C58*(1+$B58)</f>
        <v>0</v>
      </c>
      <c r="E58" s="219">
        <f>D58*(1+$B58)</f>
        <v>0</v>
      </c>
      <c r="F58" s="219">
        <f>E58*(1+$B58)</f>
        <v>0</v>
      </c>
      <c r="G58" s="219">
        <f>F58*(1+$B58)</f>
        <v>0</v>
      </c>
      <c r="H58" s="219">
        <f>G58*(1+$B58)</f>
        <v>0</v>
      </c>
      <c r="I58" s="13"/>
      <c r="J58" s="13"/>
      <c r="K58" s="13"/>
      <c r="L58" s="13"/>
      <c r="M58" s="13"/>
      <c r="N58" s="13"/>
      <c r="O58" s="13"/>
      <c r="P58" s="13"/>
      <c r="Q58" s="13"/>
    </row>
    <row r="59" spans="1:17" x14ac:dyDescent="0.25">
      <c r="A59" s="40" t="s">
        <v>291</v>
      </c>
      <c r="B59" s="217">
        <v>0</v>
      </c>
      <c r="C59" s="218">
        <v>0</v>
      </c>
      <c r="D59" s="219">
        <f>C59*(1+$B59)</f>
        <v>0</v>
      </c>
      <c r="E59" s="219">
        <f>D59*(1+$B59)</f>
        <v>0</v>
      </c>
      <c r="F59" s="219">
        <f>E59*(1+$B59)</f>
        <v>0</v>
      </c>
      <c r="G59" s="219">
        <f>F59*(1+$B59)</f>
        <v>0</v>
      </c>
      <c r="H59" s="219">
        <f>G59*(1+$B59)</f>
        <v>0</v>
      </c>
      <c r="I59" s="13"/>
      <c r="J59" s="13"/>
      <c r="K59" s="13"/>
      <c r="L59" s="13"/>
      <c r="M59" s="13"/>
      <c r="N59" s="13"/>
      <c r="O59" s="13"/>
      <c r="P59" s="13"/>
      <c r="Q59" s="13"/>
    </row>
    <row r="60" spans="1:17" x14ac:dyDescent="0.25">
      <c r="A60" s="40" t="s">
        <v>292</v>
      </c>
      <c r="B60" s="217">
        <v>0</v>
      </c>
      <c r="C60" s="218">
        <v>0</v>
      </c>
      <c r="D60" s="219">
        <f>C60*(1+$B60)</f>
        <v>0</v>
      </c>
      <c r="E60" s="219">
        <f>D60*(1+$B60)</f>
        <v>0</v>
      </c>
      <c r="F60" s="219">
        <f>E60*(1+$B60)</f>
        <v>0</v>
      </c>
      <c r="G60" s="219">
        <f>F60*(1+$B60)</f>
        <v>0</v>
      </c>
      <c r="H60" s="219">
        <f>G60*(1+$B60)</f>
        <v>0</v>
      </c>
      <c r="I60" s="13"/>
      <c r="J60" s="13"/>
      <c r="K60" s="13"/>
      <c r="L60" s="13"/>
      <c r="M60" s="13"/>
      <c r="N60" s="13"/>
      <c r="O60" s="13"/>
      <c r="P60" s="13"/>
      <c r="Q60" s="13"/>
    </row>
    <row r="61" spans="1:17" x14ac:dyDescent="0.25">
      <c r="A61" s="9" t="s">
        <v>242</v>
      </c>
      <c r="B61" s="61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</row>
    <row r="62" spans="1:17" x14ac:dyDescent="0.25">
      <c r="A62" s="40" t="s">
        <v>68</v>
      </c>
      <c r="B62" s="14"/>
      <c r="C62" s="192" t="s">
        <v>216</v>
      </c>
      <c r="D62" s="126">
        <f>Summary!B11</f>
        <v>1000000</v>
      </c>
      <c r="E62" s="127">
        <f>-D62</f>
        <v>-1000000</v>
      </c>
      <c r="F62" s="2">
        <v>0</v>
      </c>
      <c r="G62" s="2">
        <v>0</v>
      </c>
      <c r="H62" s="2">
        <v>0</v>
      </c>
      <c r="I62" s="13"/>
      <c r="J62" s="13"/>
      <c r="K62" s="13"/>
      <c r="L62" s="13"/>
      <c r="M62" s="13"/>
      <c r="N62" s="13"/>
      <c r="O62" s="13"/>
      <c r="P62" s="13"/>
      <c r="Q62" s="13"/>
    </row>
    <row r="63" spans="1:17" x14ac:dyDescent="0.25">
      <c r="A63" s="14"/>
      <c r="B63" s="20" t="str">
        <f>"Annual Rate above Inflation, "&amp;TEXT(Summary!B26,"0.0%")</f>
        <v>Annual Rate above Inflation, 2.0%</v>
      </c>
      <c r="C63" s="230"/>
      <c r="D63" s="230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</row>
    <row r="64" spans="1:17" x14ac:dyDescent="0.25">
      <c r="A64" s="40" t="s">
        <v>203</v>
      </c>
      <c r="B64" s="183">
        <f>Summary!B9</f>
        <v>0</v>
      </c>
      <c r="C64" s="2">
        <v>3000000</v>
      </c>
      <c r="D64" s="6">
        <f>IF(D62&lt;0,0,D62)+(C64+IF(D62&lt;0,D62,0))*(1+$B64+Summary!$B$26)</f>
        <v>4060000</v>
      </c>
      <c r="E64" s="6">
        <f>IF(E62&lt;0,0,E62)+(D64+IF(E62&lt;0,E62,0))*(1+$B64+Summary!$B$26)</f>
        <v>3121200</v>
      </c>
      <c r="F64" s="6">
        <f>IF(F62&lt;0,0,F62)+(E64+IF(F62&lt;0,F62,0))*(1+$B64+Summary!$B$26)</f>
        <v>3183624</v>
      </c>
      <c r="G64" s="6">
        <f>IF(G62&lt;0,0,G62)+(F64+IF(G62&lt;0,G62,0))*(1+$B64+Summary!$B$26)</f>
        <v>3247296.48</v>
      </c>
      <c r="H64" s="6">
        <f>IF(H62&lt;0,0,H62)+(G64+IF(H62&lt;0,H62,0))*(1+$B64+Summary!$B$26)</f>
        <v>3312242.4095999999</v>
      </c>
      <c r="I64" s="13"/>
      <c r="J64" s="13"/>
      <c r="K64" s="13"/>
      <c r="L64" s="13"/>
      <c r="M64" s="13"/>
      <c r="N64" s="13"/>
      <c r="O64" s="13"/>
      <c r="P64" s="13"/>
      <c r="Q64" s="13"/>
    </row>
    <row r="65" spans="1:17" x14ac:dyDescent="0.25">
      <c r="A65" s="40"/>
      <c r="B65" s="40" t="s">
        <v>253</v>
      </c>
      <c r="C65" s="191"/>
      <c r="D65" s="16"/>
      <c r="E65" s="16"/>
      <c r="F65" s="16"/>
      <c r="G65" s="16"/>
      <c r="H65" s="16"/>
      <c r="I65" s="13"/>
      <c r="J65" s="13"/>
      <c r="K65" s="13"/>
      <c r="L65" s="13"/>
      <c r="M65" s="13"/>
      <c r="N65" s="13"/>
      <c r="O65" s="13"/>
      <c r="P65" s="13"/>
      <c r="Q65" s="13"/>
    </row>
    <row r="66" spans="1:17" x14ac:dyDescent="0.25">
      <c r="A66" s="40" t="s">
        <v>204</v>
      </c>
      <c r="B66" s="31">
        <v>0</v>
      </c>
      <c r="C66" s="2">
        <v>0</v>
      </c>
      <c r="D66" s="4">
        <f>C66*$B66</f>
        <v>0</v>
      </c>
      <c r="E66" s="4">
        <f>D66*$B66</f>
        <v>0</v>
      </c>
      <c r="F66" s="4">
        <f>E66*$B66</f>
        <v>0</v>
      </c>
      <c r="G66" s="4">
        <f>F66*$B66</f>
        <v>0</v>
      </c>
      <c r="H66" s="4">
        <f>G66*$B66</f>
        <v>0</v>
      </c>
      <c r="I66" s="13"/>
      <c r="J66" s="13"/>
      <c r="K66" s="13"/>
      <c r="L66" s="13"/>
      <c r="M66" s="13"/>
      <c r="N66" s="13"/>
      <c r="O66" s="13"/>
      <c r="P66" s="13"/>
      <c r="Q66" s="13"/>
    </row>
    <row r="67" spans="1:17" x14ac:dyDescent="0.25">
      <c r="A67" s="194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</row>
    <row r="68" spans="1:17" x14ac:dyDescent="0.25">
      <c r="A68" s="40" t="s">
        <v>205</v>
      </c>
      <c r="B68" s="13"/>
      <c r="C68" s="6">
        <f>Cash!B28</f>
        <v>3100000</v>
      </c>
      <c r="D68" s="6">
        <f>Cash!C28</f>
        <v>2350000</v>
      </c>
      <c r="E68" s="6">
        <f>Cash!D28</f>
        <v>2503000</v>
      </c>
      <c r="F68" s="6">
        <f>Cash!E28</f>
        <v>2529062.5</v>
      </c>
      <c r="G68" s="6">
        <f>Cash!F28</f>
        <v>2596532.5</v>
      </c>
      <c r="H68" s="6">
        <f>Cash!G28</f>
        <v>2697113.75</v>
      </c>
      <c r="I68" s="13"/>
      <c r="J68" s="13"/>
      <c r="K68" s="13"/>
      <c r="L68" s="13"/>
      <c r="M68" s="13"/>
      <c r="N68" s="13"/>
      <c r="O68" s="13"/>
      <c r="P68" s="13"/>
      <c r="Q68" s="13"/>
    </row>
    <row r="69" spans="1:17" x14ac:dyDescent="0.25">
      <c r="A69" s="40" t="s">
        <v>206</v>
      </c>
      <c r="B69" s="31">
        <v>0</v>
      </c>
      <c r="C69" s="2">
        <v>0</v>
      </c>
      <c r="D69" s="138">
        <f>C69*(1+$B69+Summary!$B$26)</f>
        <v>0</v>
      </c>
      <c r="E69" s="138">
        <f>D69*(1+$B69+Summary!$B$26)</f>
        <v>0</v>
      </c>
      <c r="F69" s="138">
        <f>E69*(1+$B69+Summary!$B$26)</f>
        <v>0</v>
      </c>
      <c r="G69" s="138">
        <f>F69*(1+$B69+Summary!$B$26)</f>
        <v>0</v>
      </c>
      <c r="H69" s="138">
        <f>G69*(1+$B69+Summary!$B$26)</f>
        <v>0</v>
      </c>
      <c r="I69" s="13"/>
      <c r="J69" s="13"/>
      <c r="K69" s="13"/>
      <c r="L69" s="13"/>
      <c r="M69" s="13"/>
      <c r="N69" s="13"/>
      <c r="O69" s="13"/>
      <c r="P69" s="13"/>
      <c r="Q69" s="13"/>
    </row>
    <row r="70" spans="1:17" x14ac:dyDescent="0.25">
      <c r="A70" s="193" t="s">
        <v>256</v>
      </c>
      <c r="B70" s="9" t="str">
        <f>"Annual Rate above Inflation, "&amp;TEXT(Summary!B26,"0.0%")</f>
        <v>Annual Rate above Inflation, 2.0%</v>
      </c>
      <c r="C70" s="8"/>
      <c r="D70" s="8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</row>
    <row r="71" spans="1:17" x14ac:dyDescent="0.25">
      <c r="A71" s="40" t="s">
        <v>211</v>
      </c>
      <c r="B71" s="13"/>
      <c r="C71" s="10" t="s">
        <v>216</v>
      </c>
      <c r="D71" s="3">
        <v>0</v>
      </c>
      <c r="E71" s="3">
        <v>0</v>
      </c>
      <c r="F71" s="3">
        <v>0</v>
      </c>
      <c r="G71" s="3">
        <v>100</v>
      </c>
      <c r="H71" s="3">
        <v>0</v>
      </c>
      <c r="I71" s="13"/>
      <c r="J71" s="13"/>
      <c r="K71" s="13"/>
      <c r="L71" s="13"/>
      <c r="M71" s="13"/>
      <c r="N71" s="13"/>
      <c r="O71" s="13"/>
      <c r="P71" s="13"/>
      <c r="Q71" s="13"/>
    </row>
    <row r="72" spans="1:17" x14ac:dyDescent="0.25">
      <c r="A72" s="194"/>
      <c r="B72" s="12" t="s">
        <v>192</v>
      </c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</row>
    <row r="73" spans="1:17" x14ac:dyDescent="0.25">
      <c r="A73" s="40" t="s">
        <v>212</v>
      </c>
      <c r="B73" s="139">
        <v>0</v>
      </c>
      <c r="C73" s="2">
        <v>1000</v>
      </c>
      <c r="D73" s="4">
        <f>C73*(1+$B$73)+D71</f>
        <v>1000</v>
      </c>
      <c r="E73" s="4">
        <f>D73*(1+$B$73)+E71</f>
        <v>1000</v>
      </c>
      <c r="F73" s="4">
        <f>E73*(1+$B$73)+F71</f>
        <v>1000</v>
      </c>
      <c r="G73" s="4">
        <f>F73*(1+$B$73)+G71</f>
        <v>1100</v>
      </c>
      <c r="H73" s="4">
        <f>G73*(1+$B$73)+H71</f>
        <v>1100</v>
      </c>
      <c r="I73" s="13"/>
      <c r="J73" s="13"/>
      <c r="K73" s="13"/>
      <c r="L73" s="13"/>
      <c r="M73" s="13"/>
      <c r="N73" s="13"/>
      <c r="O73" s="13"/>
      <c r="P73" s="13"/>
      <c r="Q73" s="13"/>
    </row>
    <row r="74" spans="1:17" x14ac:dyDescent="0.25">
      <c r="A74" s="40" t="s">
        <v>213</v>
      </c>
      <c r="B74" s="13"/>
      <c r="C74" s="31">
        <v>0.95</v>
      </c>
      <c r="D74" s="33">
        <f>C74</f>
        <v>0.95</v>
      </c>
      <c r="E74" s="33">
        <f>D74</f>
        <v>0.95</v>
      </c>
      <c r="F74" s="33">
        <f>E74</f>
        <v>0.95</v>
      </c>
      <c r="G74" s="33">
        <f>F74</f>
        <v>0.95</v>
      </c>
      <c r="H74" s="33">
        <f>G74</f>
        <v>0.95</v>
      </c>
      <c r="I74" s="13"/>
      <c r="J74" s="13"/>
      <c r="K74" s="13"/>
      <c r="L74" s="13"/>
      <c r="M74" s="13"/>
      <c r="N74" s="13"/>
      <c r="O74" s="13"/>
      <c r="P74" s="13"/>
      <c r="Q74" s="13"/>
    </row>
    <row r="75" spans="1:17" x14ac:dyDescent="0.25">
      <c r="A75" s="194"/>
      <c r="B75" s="12" t="s">
        <v>25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</row>
    <row r="76" spans="1:17" x14ac:dyDescent="0.25">
      <c r="A76" s="40" t="s">
        <v>257</v>
      </c>
      <c r="B76" s="139">
        <v>0.02</v>
      </c>
      <c r="C76" s="2">
        <v>2500</v>
      </c>
      <c r="D76" s="5">
        <f>C76*(1+$B$76+Summary!$B$26)</f>
        <v>2600</v>
      </c>
      <c r="E76" s="5">
        <f>D76*(1+$B$76+Summary!$B$26)</f>
        <v>2704</v>
      </c>
      <c r="F76" s="5">
        <f>E76*(1+$B$76+Summary!$B$26)</f>
        <v>2812.1600000000003</v>
      </c>
      <c r="G76" s="5">
        <f>F76*(1+$B$76+Summary!$B$26)</f>
        <v>2924.6464000000005</v>
      </c>
      <c r="H76" s="5">
        <f>G76*(1+$B$76+Summary!$B$26)</f>
        <v>3041.6322560000008</v>
      </c>
      <c r="I76" s="13"/>
      <c r="J76" s="13"/>
      <c r="K76" s="13"/>
      <c r="L76" s="13"/>
      <c r="M76" s="13"/>
      <c r="N76" s="13"/>
      <c r="O76" s="13"/>
      <c r="P76" s="13"/>
      <c r="Q76" s="13"/>
    </row>
    <row r="77" spans="1:17" x14ac:dyDescent="0.25">
      <c r="A77" s="40" t="s">
        <v>214</v>
      </c>
      <c r="B77" s="13"/>
      <c r="C77" s="140">
        <f>C73*C74*C76</f>
        <v>2375000</v>
      </c>
      <c r="D77" s="140">
        <f t="shared" ref="D77:H77" si="10">D73*D74*D76</f>
        <v>2470000</v>
      </c>
      <c r="E77" s="140">
        <f t="shared" si="10"/>
        <v>2568800</v>
      </c>
      <c r="F77" s="140">
        <f t="shared" si="10"/>
        <v>2671552.0000000005</v>
      </c>
      <c r="G77" s="140">
        <f t="shared" si="10"/>
        <v>3056255.4880000004</v>
      </c>
      <c r="H77" s="140">
        <f t="shared" si="10"/>
        <v>3178505.7075200006</v>
      </c>
      <c r="I77" s="13"/>
      <c r="J77" s="13"/>
      <c r="K77" s="13"/>
      <c r="L77" s="13"/>
      <c r="M77" s="13"/>
      <c r="N77" s="13"/>
      <c r="O77" s="13"/>
      <c r="P77" s="13"/>
      <c r="Q77" s="13"/>
    </row>
    <row r="78" spans="1:17" x14ac:dyDescent="0.25">
      <c r="A78" s="40" t="s">
        <v>217</v>
      </c>
      <c r="B78" s="13"/>
      <c r="C78" s="5">
        <f>ScholTuit!C32</f>
        <v>30000</v>
      </c>
      <c r="D78" s="5">
        <f>ScholTuit!D32</f>
        <v>30600</v>
      </c>
      <c r="E78" s="5">
        <f>ScholTuit!E32</f>
        <v>31212</v>
      </c>
      <c r="F78" s="5">
        <f>ScholTuit!F32</f>
        <v>31836.240000000002</v>
      </c>
      <c r="G78" s="5">
        <f>ScholTuit!G32</f>
        <v>32472.964800000002</v>
      </c>
      <c r="H78" s="5">
        <f>ScholTuit!H32</f>
        <v>33122.424096000002</v>
      </c>
      <c r="I78" s="13"/>
      <c r="J78" s="13"/>
      <c r="K78" s="13"/>
      <c r="L78" s="13"/>
      <c r="M78" s="13"/>
      <c r="N78" s="13"/>
      <c r="O78" s="13"/>
      <c r="P78" s="13"/>
      <c r="Q78" s="13"/>
    </row>
    <row r="79" spans="1:17" x14ac:dyDescent="0.25">
      <c r="A79" s="195" t="s">
        <v>207</v>
      </c>
      <c r="B79" s="13"/>
      <c r="C79" s="140">
        <f>C77-C78</f>
        <v>2345000</v>
      </c>
      <c r="D79" s="140">
        <f t="shared" ref="D79:H79" si="11">D77-D78</f>
        <v>2439400</v>
      </c>
      <c r="E79" s="140">
        <f t="shared" si="11"/>
        <v>2537588</v>
      </c>
      <c r="F79" s="140">
        <f t="shared" si="11"/>
        <v>2639715.7600000002</v>
      </c>
      <c r="G79" s="140">
        <f t="shared" si="11"/>
        <v>3023782.5232000002</v>
      </c>
      <c r="H79" s="140">
        <f t="shared" si="11"/>
        <v>3145383.2834240007</v>
      </c>
      <c r="I79" s="13"/>
      <c r="J79" s="13"/>
      <c r="K79" s="13"/>
      <c r="L79" s="13"/>
      <c r="M79" s="13"/>
      <c r="N79" s="13"/>
      <c r="O79" s="13"/>
      <c r="P79" s="13"/>
      <c r="Q79" s="13"/>
    </row>
    <row r="80" spans="1:17" x14ac:dyDescent="0.25">
      <c r="A80" s="13"/>
      <c r="B80" s="12" t="s">
        <v>25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</row>
    <row r="81" spans="1:17" x14ac:dyDescent="0.25">
      <c r="A81" s="11" t="s">
        <v>208</v>
      </c>
      <c r="B81" s="31">
        <v>0</v>
      </c>
      <c r="C81" s="2">
        <v>0</v>
      </c>
      <c r="D81" s="138">
        <f>C81*(1+$B81+Summary!$B$26)</f>
        <v>0</v>
      </c>
      <c r="E81" s="138">
        <f>D81*(1+$B81+Summary!$B$26)</f>
        <v>0</v>
      </c>
      <c r="F81" s="138">
        <f>E81*(1+$B81+Summary!$B$26)</f>
        <v>0</v>
      </c>
      <c r="G81" s="138">
        <f>F81*(1+$B81+Summary!$B$26)</f>
        <v>0</v>
      </c>
      <c r="H81" s="138">
        <f>G81*(1+$B81+Summary!$B$26)</f>
        <v>0</v>
      </c>
      <c r="I81" s="13"/>
      <c r="J81" s="13"/>
      <c r="K81" s="13"/>
      <c r="L81" s="13"/>
      <c r="M81" s="13"/>
      <c r="N81" s="13"/>
      <c r="O81" s="13"/>
      <c r="P81" s="13"/>
      <c r="Q81" s="13"/>
    </row>
    <row r="82" spans="1:17" x14ac:dyDescent="0.25">
      <c r="A82" s="11" t="s">
        <v>209</v>
      </c>
      <c r="B82" s="31">
        <v>0</v>
      </c>
      <c r="C82" s="2">
        <v>0</v>
      </c>
      <c r="D82" s="138">
        <f>C82*(1+$B82+Summary!$B$26)</f>
        <v>0</v>
      </c>
      <c r="E82" s="138">
        <f>D82*(1+$B82+Summary!$B$26)</f>
        <v>0</v>
      </c>
      <c r="F82" s="138">
        <f>E82*(1+$B82+Summary!$B$26)</f>
        <v>0</v>
      </c>
      <c r="G82" s="138">
        <f>F82*(1+$B82+Summary!$B$26)</f>
        <v>0</v>
      </c>
      <c r="H82" s="138">
        <f>G82*(1+$B82+Summary!$B$26)</f>
        <v>0</v>
      </c>
      <c r="I82" s="13"/>
      <c r="J82" s="13"/>
      <c r="K82" s="13"/>
      <c r="L82" s="13"/>
      <c r="M82" s="13"/>
      <c r="N82" s="13"/>
      <c r="O82" s="13"/>
      <c r="P82" s="13"/>
      <c r="Q82" s="13"/>
    </row>
    <row r="83" spans="1:17" x14ac:dyDescent="0.25">
      <c r="A83" s="40" t="s">
        <v>215</v>
      </c>
      <c r="B83" s="13"/>
      <c r="C83" s="10" t="s">
        <v>216</v>
      </c>
      <c r="D83" s="2">
        <v>50000</v>
      </c>
      <c r="E83" s="2">
        <v>-50000</v>
      </c>
      <c r="F83" s="2">
        <v>0</v>
      </c>
      <c r="G83" s="2">
        <v>0</v>
      </c>
      <c r="H83" s="2">
        <v>0</v>
      </c>
      <c r="I83" s="13"/>
      <c r="J83" s="13"/>
      <c r="K83" s="13"/>
      <c r="L83" s="13"/>
      <c r="M83" s="13"/>
      <c r="N83" s="13"/>
      <c r="O83" s="13"/>
      <c r="P83" s="13"/>
      <c r="Q83" s="13"/>
    </row>
    <row r="84" spans="1:17" x14ac:dyDescent="0.25">
      <c r="A84" s="11" t="s">
        <v>210</v>
      </c>
      <c r="B84" s="178">
        <f>Summary!B10</f>
        <v>0</v>
      </c>
      <c r="C84" s="2">
        <v>500000</v>
      </c>
      <c r="D84" s="18">
        <f>IF(D83&lt;0,0,D83)+(C84+IF(D83&lt;0,D83,0))*(1+$B84+Summary!$B$26)</f>
        <v>560000</v>
      </c>
      <c r="E84" s="18">
        <f>IF(E83&lt;0,0,E83)+(D84+IF(E83&lt;0,E83,0))*(1+$B84+Summary!$B$26)</f>
        <v>520200</v>
      </c>
      <c r="F84" s="18">
        <f>IF(F83&lt;0,0,F83)+(E84+IF(F83&lt;0,F83,0))*(1+$B84+Summary!$B$26)</f>
        <v>530604</v>
      </c>
      <c r="G84" s="18">
        <f>IF(G83&lt;0,0,G83)+(F84+IF(G83&lt;0,G83,0))*(1+$B84+Summary!$B$26)</f>
        <v>541216.07999999996</v>
      </c>
      <c r="H84" s="18">
        <f>IF(H83&lt;0,0,H83)+(G84+IF(H83&lt;0,H83,0))*(1+$B84+Summary!$B$26)</f>
        <v>552040.40159999998</v>
      </c>
      <c r="I84" s="13"/>
      <c r="J84" s="13"/>
      <c r="K84" s="13"/>
      <c r="L84" s="13"/>
      <c r="M84" s="13"/>
      <c r="N84" s="13"/>
      <c r="O84" s="13"/>
      <c r="P84" s="13"/>
      <c r="Q84" s="13"/>
    </row>
    <row r="85" spans="1:17" x14ac:dyDescent="0.25">
      <c r="A85" s="13"/>
      <c r="B85" s="13"/>
      <c r="C85" s="13"/>
      <c r="D85" s="18"/>
      <c r="E85" s="13"/>
      <c r="F85" s="18"/>
      <c r="G85" s="13"/>
      <c r="H85" s="18"/>
      <c r="I85" s="13"/>
      <c r="J85" s="13"/>
      <c r="K85" s="13"/>
      <c r="L85" s="13"/>
      <c r="M85" s="13"/>
      <c r="N85" s="13"/>
      <c r="O85" s="13"/>
      <c r="P85" s="13"/>
      <c r="Q85" s="13"/>
    </row>
    <row r="86" spans="1:17" x14ac:dyDescent="0.25">
      <c r="A86" s="193" t="s">
        <v>86</v>
      </c>
      <c r="B86" s="11" t="s">
        <v>359</v>
      </c>
      <c r="C86" s="151">
        <f>C91</f>
        <v>2022</v>
      </c>
      <c r="D86" s="151">
        <f t="shared" ref="D86:H86" si="12">D91</f>
        <v>2023</v>
      </c>
      <c r="E86" s="151">
        <f t="shared" si="12"/>
        <v>2024</v>
      </c>
      <c r="F86" s="151">
        <f t="shared" si="12"/>
        <v>2025</v>
      </c>
      <c r="G86" s="151">
        <f t="shared" si="12"/>
        <v>2026</v>
      </c>
      <c r="H86" s="151">
        <f t="shared" si="12"/>
        <v>2027</v>
      </c>
      <c r="I86" s="13"/>
      <c r="J86" s="13"/>
      <c r="K86" s="13"/>
      <c r="L86" s="13"/>
      <c r="M86" s="13"/>
      <c r="N86" s="13"/>
      <c r="O86" s="13"/>
      <c r="P86" s="13"/>
      <c r="Q86" s="13"/>
    </row>
    <row r="87" spans="1:17" x14ac:dyDescent="0.25">
      <c r="A87" s="10" t="s">
        <v>118</v>
      </c>
      <c r="B87" s="8" t="s">
        <v>360</v>
      </c>
      <c r="C87" s="96">
        <f>C11/Staffing!B57</f>
        <v>32.121431205184514</v>
      </c>
      <c r="D87" s="96">
        <f>D11/Staffing!C57</f>
        <v>28.54464078427063</v>
      </c>
      <c r="E87" s="96">
        <f>E11/Staffing!D57</f>
        <v>25.556064894162514</v>
      </c>
      <c r="F87" s="96">
        <f>F11/Staffing!E57</f>
        <v>22.06092640354467</v>
      </c>
      <c r="G87" s="96">
        <f>G11/Staffing!F57</f>
        <v>19.553933898632071</v>
      </c>
      <c r="H87" s="96">
        <f>H11/Staffing!G57</f>
        <v>16.458940960109882</v>
      </c>
      <c r="I87" s="13"/>
      <c r="J87" s="13"/>
      <c r="K87" s="13"/>
      <c r="L87" s="13"/>
      <c r="M87" s="13"/>
      <c r="N87" s="13"/>
      <c r="O87" s="13"/>
      <c r="P87" s="13"/>
      <c r="Q87" s="13"/>
    </row>
    <row r="88" spans="1:17" x14ac:dyDescent="0.25">
      <c r="A88" s="10" t="s">
        <v>118</v>
      </c>
      <c r="B88" s="8" t="s">
        <v>361</v>
      </c>
      <c r="C88" s="96">
        <f>C12/Staffing!B57</f>
        <v>29.424764538517849</v>
      </c>
      <c r="D88" s="96">
        <f>D12/Staffing!C57</f>
        <v>26.181465459595305</v>
      </c>
      <c r="E88" s="96">
        <f>E12/Staffing!D57</f>
        <v>23.424578684352387</v>
      </c>
      <c r="F88" s="96">
        <f>F12/Staffing!E57</f>
        <v>20.274592091692952</v>
      </c>
      <c r="G88" s="96">
        <f>G12/Staffing!F57</f>
        <v>17.851689969776849</v>
      </c>
      <c r="H88" s="96">
        <f>H12/Staffing!G57</f>
        <v>13.346474306437759</v>
      </c>
      <c r="I88" s="13"/>
      <c r="J88" s="13"/>
      <c r="K88" s="13"/>
      <c r="L88" s="13"/>
      <c r="M88" s="13"/>
      <c r="N88" s="13"/>
      <c r="O88" s="13"/>
      <c r="P88" s="13"/>
      <c r="Q88" s="13"/>
    </row>
    <row r="89" spans="1:17" x14ac:dyDescent="0.25">
      <c r="A89" s="10" t="s">
        <v>122</v>
      </c>
      <c r="B89" s="8" t="s">
        <v>360</v>
      </c>
      <c r="C89" s="96">
        <f>C27/Staffing!B58</f>
        <v>21.65039222245613</v>
      </c>
      <c r="D89" s="96">
        <f>D27/Staffing!C58</f>
        <v>19.677291358757824</v>
      </c>
      <c r="E89" s="96">
        <f>E27/Staffing!D58</f>
        <v>18.280742516017696</v>
      </c>
      <c r="F89" s="96">
        <f>F27/Staffing!E58</f>
        <v>16.07430913078084</v>
      </c>
      <c r="G89" s="96">
        <f>G27/Staffing!F58</f>
        <v>15.007282013623293</v>
      </c>
      <c r="H89" s="96">
        <f>H27/Staffing!G58</f>
        <v>14.220964219249412</v>
      </c>
      <c r="I89" s="13"/>
      <c r="J89" s="13"/>
      <c r="K89" s="13"/>
      <c r="L89" s="13"/>
      <c r="M89" s="13"/>
      <c r="N89" s="13"/>
      <c r="O89" s="13"/>
      <c r="P89" s="13"/>
      <c r="Q89" s="13"/>
    </row>
    <row r="90" spans="1:17" x14ac:dyDescent="0.25">
      <c r="A90" s="10" t="s">
        <v>122</v>
      </c>
      <c r="B90" s="8" t="s">
        <v>361</v>
      </c>
      <c r="C90" s="96">
        <f>C28/Staffing!B58</f>
        <v>18.739677936741849</v>
      </c>
      <c r="D90" s="96">
        <f>D28/Staffing!C58</f>
        <v>17.146871342680647</v>
      </c>
      <c r="E90" s="96">
        <f>E28/Staffing!D58</f>
        <v>15.938629052815333</v>
      </c>
      <c r="F90" s="96">
        <f>F28/Staffing!E58</f>
        <v>14.14574728484553</v>
      </c>
      <c r="G90" s="96">
        <f>G28/Staffing!F58</f>
        <v>13.055142502749957</v>
      </c>
      <c r="H90" s="96">
        <f>H28/Staffing!F58</f>
        <v>10.833103070126153</v>
      </c>
      <c r="I90" s="13"/>
      <c r="J90" s="13"/>
      <c r="K90" s="13"/>
      <c r="L90" s="13"/>
      <c r="M90" s="13"/>
      <c r="N90" s="13"/>
      <c r="O90" s="13"/>
      <c r="P90" s="13"/>
      <c r="Q90" s="13"/>
    </row>
    <row r="91" spans="1:17" x14ac:dyDescent="0.25">
      <c r="A91" s="193" t="s">
        <v>44</v>
      </c>
      <c r="B91" s="11" t="s">
        <v>359</v>
      </c>
      <c r="C91" s="151">
        <f>Summary!F3</f>
        <v>2022</v>
      </c>
      <c r="D91" s="151">
        <f>Summary!G3</f>
        <v>2023</v>
      </c>
      <c r="E91" s="151">
        <f>Summary!H3</f>
        <v>2024</v>
      </c>
      <c r="F91" s="151">
        <f>Summary!I3</f>
        <v>2025</v>
      </c>
      <c r="G91" s="151">
        <f>Summary!J3</f>
        <v>2026</v>
      </c>
      <c r="H91" s="151">
        <f>Summary!K3</f>
        <v>2027</v>
      </c>
      <c r="I91" s="13"/>
      <c r="J91" s="13"/>
      <c r="K91" s="13"/>
      <c r="L91" s="13"/>
      <c r="M91" s="13"/>
      <c r="N91" s="13"/>
      <c r="O91" s="13"/>
      <c r="P91" s="13"/>
      <c r="Q91" s="13"/>
    </row>
    <row r="92" spans="1:17" x14ac:dyDescent="0.25">
      <c r="A92" s="10" t="s">
        <v>118</v>
      </c>
      <c r="B92" s="9"/>
      <c r="C92" s="96">
        <f>(C11+C12)/(2*Staffing!B57)</f>
        <v>30.773097871851181</v>
      </c>
      <c r="D92" s="96">
        <f>(D11+D12)/(2*Staffing!C57)</f>
        <v>27.363053121932968</v>
      </c>
      <c r="E92" s="96">
        <f>(E11+E12)/(2*Staffing!D57)</f>
        <v>24.49032178925745</v>
      </c>
      <c r="F92" s="96">
        <f>(E12+F11)/(2*Staffing!E57)</f>
        <v>22.453560214512081</v>
      </c>
      <c r="G92" s="96">
        <f>(F11+F12)/(2*Staffing!F57)</f>
        <v>20.171629400672042</v>
      </c>
      <c r="H92" s="96">
        <f>(G11+G12)/(2*Staffing!G57)</f>
        <v>18.702811934204458</v>
      </c>
      <c r="I92" s="13"/>
      <c r="J92" s="13"/>
      <c r="K92" s="13"/>
      <c r="L92" s="13"/>
      <c r="M92" s="13"/>
      <c r="N92" s="13"/>
      <c r="O92" s="13"/>
      <c r="P92" s="13"/>
      <c r="Q92" s="13"/>
    </row>
    <row r="93" spans="1:17" x14ac:dyDescent="0.25">
      <c r="A93" s="10" t="s">
        <v>122</v>
      </c>
      <c r="B93" s="9"/>
      <c r="C93" s="96">
        <f>(C27+C28)/(2*Staffing!B58)</f>
        <v>20.195035079598991</v>
      </c>
      <c r="D93" s="96">
        <f>(D27+D28)/(2*Staffing!C58)</f>
        <v>18.412081350719237</v>
      </c>
      <c r="E93" s="96">
        <f>(E27+E28)/(2*Staffing!D58)</f>
        <v>17.109685784416516</v>
      </c>
      <c r="F93" s="96">
        <f>(E28+F27)/(2*Staffing!E58)</f>
        <v>16.111674564093896</v>
      </c>
      <c r="G93" s="96">
        <f>(F27+F28)/(2*Staffing!F58)</f>
        <v>14.816629601836231</v>
      </c>
      <c r="H93" s="96">
        <f>(G27+G28)/(2*Staffing!G58)</f>
        <v>14.697100297558194</v>
      </c>
      <c r="I93" s="13"/>
      <c r="J93" s="13"/>
      <c r="K93" s="13"/>
      <c r="L93" s="13"/>
      <c r="M93" s="13"/>
      <c r="N93" s="13"/>
      <c r="O93" s="13"/>
      <c r="P93" s="13"/>
      <c r="Q93" s="13"/>
    </row>
    <row r="94" spans="1:17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</row>
    <row r="95" spans="1:17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</row>
    <row r="96" spans="1:17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</row>
    <row r="97" spans="1:17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</row>
    <row r="98" spans="1:17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</row>
    <row r="99" spans="1:17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</row>
    <row r="100" spans="1:17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</row>
  </sheetData>
  <mergeCells count="1">
    <mergeCell ref="D47:H4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2345-FFC1-4711-AF03-A837E37AFF11}">
  <dimension ref="A1:AV57"/>
  <sheetViews>
    <sheetView workbookViewId="0"/>
  </sheetViews>
  <sheetFormatPr defaultRowHeight="15" x14ac:dyDescent="0.25"/>
  <cols>
    <col min="1" max="1" width="55.5703125" style="93" customWidth="1"/>
    <col min="2" max="2" width="10" style="93" customWidth="1"/>
    <col min="3" max="8" width="12.140625" customWidth="1"/>
    <col min="9" max="14" width="10.7109375" customWidth="1"/>
  </cols>
  <sheetData>
    <row r="1" spans="1:16" ht="15.75" x14ac:dyDescent="0.25">
      <c r="A1" s="98" t="str">
        <f>Summary!A1</f>
        <v>Old Talc Mine State College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x14ac:dyDescent="0.25">
      <c r="A2" s="13"/>
      <c r="B2" s="11" t="s">
        <v>239</v>
      </c>
      <c r="C2" s="151">
        <f>Enrollment!C2</f>
        <v>2022</v>
      </c>
      <c r="D2" s="151">
        <f>Enrollment!D2</f>
        <v>2023</v>
      </c>
      <c r="E2" s="151">
        <f>Enrollment!E2</f>
        <v>2024</v>
      </c>
      <c r="F2" s="151">
        <f>Enrollment!F2</f>
        <v>2025</v>
      </c>
      <c r="G2" s="151">
        <f>Enrollment!G2</f>
        <v>2026</v>
      </c>
      <c r="H2" s="151">
        <f>Enrollment!H2</f>
        <v>2027</v>
      </c>
      <c r="I2" s="13"/>
      <c r="J2" s="13"/>
      <c r="K2" s="13"/>
      <c r="L2" s="13"/>
      <c r="M2" s="13"/>
      <c r="N2" s="13"/>
      <c r="O2" s="13"/>
      <c r="P2" s="13"/>
    </row>
    <row r="3" spans="1:16" x14ac:dyDescent="0.25">
      <c r="A3" s="9" t="s">
        <v>386</v>
      </c>
      <c r="B3" s="20" t="s">
        <v>45</v>
      </c>
      <c r="C3" s="9"/>
      <c r="D3" s="198"/>
      <c r="E3" s="198"/>
      <c r="F3" s="198"/>
      <c r="G3" s="198"/>
      <c r="H3" s="198"/>
      <c r="I3" s="13"/>
      <c r="J3" s="13"/>
      <c r="K3" s="13"/>
      <c r="L3" s="13"/>
      <c r="M3" s="13"/>
      <c r="N3" s="13"/>
      <c r="O3" s="13"/>
      <c r="P3" s="13"/>
    </row>
    <row r="4" spans="1:16" x14ac:dyDescent="0.25">
      <c r="A4" s="10" t="s">
        <v>387</v>
      </c>
      <c r="B4" s="144">
        <f>Summary!B5</f>
        <v>0.05</v>
      </c>
      <c r="C4" s="153">
        <v>0.6</v>
      </c>
      <c r="D4" s="32">
        <f>C5*(1+$B4)</f>
        <v>0.63</v>
      </c>
      <c r="E4" s="32">
        <f>D5*(1+$B4)</f>
        <v>0.66150000000000009</v>
      </c>
      <c r="F4" s="32">
        <f>E5*(1+$B4)</f>
        <v>0.69457500000000016</v>
      </c>
      <c r="G4" s="32">
        <f>F5*(1+$B4)</f>
        <v>0.72930375000000025</v>
      </c>
      <c r="H4" s="32">
        <f>G5*(1+$B4)</f>
        <v>0.7657689375000003</v>
      </c>
      <c r="I4" s="13"/>
      <c r="J4" s="13"/>
      <c r="K4" s="13"/>
      <c r="L4" s="13"/>
      <c r="M4" s="13"/>
      <c r="N4" s="13"/>
      <c r="O4" s="13"/>
      <c r="P4" s="13"/>
    </row>
    <row r="5" spans="1:16" x14ac:dyDescent="0.25">
      <c r="A5" s="10" t="s">
        <v>388</v>
      </c>
      <c r="B5" s="13"/>
      <c r="C5" s="32">
        <f>C4</f>
        <v>0.6</v>
      </c>
      <c r="D5" s="32">
        <f>D4</f>
        <v>0.63</v>
      </c>
      <c r="E5" s="32">
        <f>E4</f>
        <v>0.66150000000000009</v>
      </c>
      <c r="F5" s="32">
        <f>F4</f>
        <v>0.69457500000000016</v>
      </c>
      <c r="G5" s="32">
        <f>G4</f>
        <v>0.72930375000000025</v>
      </c>
      <c r="H5" s="32">
        <f>H4</f>
        <v>0.7657689375000003</v>
      </c>
      <c r="I5" s="13"/>
      <c r="J5" s="13"/>
      <c r="K5" s="13"/>
      <c r="L5" s="13"/>
      <c r="M5" s="13"/>
      <c r="N5" s="13"/>
      <c r="O5" s="13"/>
      <c r="P5" s="13"/>
    </row>
    <row r="6" spans="1:16" x14ac:dyDescent="0.25">
      <c r="A6" s="10" t="s">
        <v>389</v>
      </c>
      <c r="B6" s="33">
        <f>B4</f>
        <v>0.05</v>
      </c>
      <c r="C6" s="31">
        <v>0.3</v>
      </c>
      <c r="D6" s="32">
        <f>C7*(1+$B6)</f>
        <v>0.315</v>
      </c>
      <c r="E6" s="32">
        <f>D7*(1+$B6)</f>
        <v>0.33075000000000004</v>
      </c>
      <c r="F6" s="32">
        <f>E7*(1+$B6)</f>
        <v>0.34728750000000008</v>
      </c>
      <c r="G6" s="32">
        <f>F7*(1+$B6)</f>
        <v>0.36465187500000013</v>
      </c>
      <c r="H6" s="32">
        <f>G7*(1+$B6)</f>
        <v>0.38288446875000015</v>
      </c>
      <c r="I6" s="13"/>
      <c r="J6" s="13"/>
      <c r="K6" s="13"/>
      <c r="L6" s="13"/>
      <c r="M6" s="13"/>
      <c r="N6" s="13"/>
      <c r="O6" s="13"/>
      <c r="P6" s="13"/>
    </row>
    <row r="7" spans="1:16" x14ac:dyDescent="0.25">
      <c r="A7" s="10" t="s">
        <v>390</v>
      </c>
      <c r="B7" s="13"/>
      <c r="C7" s="32">
        <f>C6</f>
        <v>0.3</v>
      </c>
      <c r="D7" s="32">
        <f>D6</f>
        <v>0.315</v>
      </c>
      <c r="E7" s="32">
        <f>E6</f>
        <v>0.33075000000000004</v>
      </c>
      <c r="F7" s="32">
        <f>F6</f>
        <v>0.34728750000000008</v>
      </c>
      <c r="G7" s="32">
        <f>G6</f>
        <v>0.36465187500000013</v>
      </c>
      <c r="H7" s="32">
        <f>H6</f>
        <v>0.38288446875000015</v>
      </c>
      <c r="I7" s="13"/>
      <c r="J7" s="13"/>
      <c r="K7" s="13"/>
      <c r="L7" s="13"/>
      <c r="M7" s="13"/>
      <c r="N7" s="13"/>
      <c r="O7" s="13"/>
      <c r="P7" s="13"/>
    </row>
    <row r="8" spans="1:16" x14ac:dyDescent="0.25">
      <c r="A8" s="9" t="s">
        <v>391</v>
      </c>
      <c r="B8" s="20" t="s">
        <v>45</v>
      </c>
      <c r="C8" s="8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16" x14ac:dyDescent="0.25">
      <c r="A9" s="10" t="s">
        <v>387</v>
      </c>
      <c r="B9" s="183">
        <f>Summary!B7</f>
        <v>0.02</v>
      </c>
      <c r="C9" s="178">
        <f>Summary!B6</f>
        <v>0.4</v>
      </c>
      <c r="D9" s="32">
        <f>C10*(1+$B9)</f>
        <v>0.40800000000000003</v>
      </c>
      <c r="E9" s="32">
        <f>D10*(1+$B9)</f>
        <v>0.41616000000000003</v>
      </c>
      <c r="F9" s="32">
        <f>E10*(1+$B9)</f>
        <v>0.42448320000000006</v>
      </c>
      <c r="G9" s="32">
        <f>F10*(1+$B9)</f>
        <v>0.43297286400000007</v>
      </c>
      <c r="H9" s="32">
        <f>G10*(1+$B9)</f>
        <v>0.44163232128000007</v>
      </c>
      <c r="I9" s="13"/>
      <c r="J9" s="13"/>
      <c r="K9" s="13"/>
      <c r="L9" s="13"/>
      <c r="M9" s="13"/>
      <c r="N9" s="13"/>
      <c r="O9" s="13"/>
      <c r="P9" s="13"/>
    </row>
    <row r="10" spans="1:16" x14ac:dyDescent="0.25">
      <c r="A10" s="10" t="s">
        <v>388</v>
      </c>
      <c r="B10" s="13"/>
      <c r="C10" s="33">
        <f>C9</f>
        <v>0.4</v>
      </c>
      <c r="D10" s="33">
        <f>D9</f>
        <v>0.40800000000000003</v>
      </c>
      <c r="E10" s="33">
        <f>E9</f>
        <v>0.41616000000000003</v>
      </c>
      <c r="F10" s="33">
        <f>F9</f>
        <v>0.42448320000000006</v>
      </c>
      <c r="G10" s="33">
        <f>G9</f>
        <v>0.43297286400000007</v>
      </c>
      <c r="H10" s="33">
        <f>H9</f>
        <v>0.44163232128000007</v>
      </c>
      <c r="I10" s="13"/>
      <c r="J10" s="13"/>
      <c r="K10" s="13"/>
      <c r="L10" s="13"/>
      <c r="M10" s="13"/>
      <c r="N10" s="13"/>
      <c r="O10" s="13"/>
      <c r="P10" s="13"/>
    </row>
    <row r="11" spans="1:16" x14ac:dyDescent="0.25">
      <c r="A11" s="10" t="s">
        <v>389</v>
      </c>
      <c r="B11" s="180">
        <f>B9</f>
        <v>0.02</v>
      </c>
      <c r="C11" s="184">
        <v>0.3</v>
      </c>
      <c r="D11" s="32">
        <f>C12*(1+$B11)</f>
        <v>0.30599999999999999</v>
      </c>
      <c r="E11" s="32">
        <f>D12*(1+$B11)</f>
        <v>0.31212000000000001</v>
      </c>
      <c r="F11" s="32">
        <f>E12*(1+$B11)</f>
        <v>0.31836239999999999</v>
      </c>
      <c r="G11" s="32">
        <f>F12*(1+$B11)</f>
        <v>0.32472964799999998</v>
      </c>
      <c r="H11" s="32">
        <f>G12*(1+$B11)</f>
        <v>0.33122424095999997</v>
      </c>
      <c r="I11" s="13"/>
      <c r="J11" s="13"/>
      <c r="K11" s="13"/>
      <c r="L11" s="13"/>
      <c r="M11" s="13"/>
      <c r="N11" s="13"/>
      <c r="O11" s="13"/>
      <c r="P11" s="13"/>
    </row>
    <row r="12" spans="1:16" x14ac:dyDescent="0.25">
      <c r="A12" s="10" t="s">
        <v>390</v>
      </c>
      <c r="B12" s="13"/>
      <c r="C12" s="33">
        <f>C11</f>
        <v>0.3</v>
      </c>
      <c r="D12" s="33">
        <f>D11</f>
        <v>0.30599999999999999</v>
      </c>
      <c r="E12" s="33">
        <f>E11</f>
        <v>0.31212000000000001</v>
      </c>
      <c r="F12" s="33">
        <f>F11</f>
        <v>0.31836239999999999</v>
      </c>
      <c r="G12" s="33">
        <f>G11</f>
        <v>0.32472964799999998</v>
      </c>
      <c r="H12" s="33">
        <f>H11</f>
        <v>0.33122424095999997</v>
      </c>
      <c r="I12" s="13"/>
      <c r="J12" s="13"/>
      <c r="K12" s="13"/>
      <c r="L12" s="13"/>
      <c r="M12" s="13"/>
      <c r="N12" s="13"/>
      <c r="O12" s="13"/>
      <c r="P12" s="13"/>
    </row>
    <row r="13" spans="1:16" x14ac:dyDescent="0.25">
      <c r="A13" s="2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16" x14ac:dyDescent="0.25">
      <c r="A14" s="9" t="s">
        <v>47</v>
      </c>
      <c r="B14" s="11" t="s">
        <v>239</v>
      </c>
      <c r="C14" s="151">
        <f>Enrollment!C2</f>
        <v>2022</v>
      </c>
      <c r="D14" s="151">
        <f>Enrollment!D2</f>
        <v>2023</v>
      </c>
      <c r="E14" s="151">
        <f>Enrollment!E2</f>
        <v>2024</v>
      </c>
      <c r="F14" s="151">
        <f>Enrollment!F2</f>
        <v>2025</v>
      </c>
      <c r="G14" s="151">
        <f>Enrollment!G2</f>
        <v>2026</v>
      </c>
      <c r="H14" s="151">
        <f>Enrollment!H2</f>
        <v>2027</v>
      </c>
      <c r="I14" s="13"/>
      <c r="J14" s="13"/>
      <c r="K14" s="13"/>
      <c r="L14" s="13"/>
      <c r="M14" s="13"/>
      <c r="N14" s="13"/>
      <c r="O14" s="13"/>
      <c r="P14" s="13"/>
    </row>
    <row r="15" spans="1:16" x14ac:dyDescent="0.25">
      <c r="A15" s="10" t="s">
        <v>387</v>
      </c>
      <c r="B15" s="24"/>
      <c r="C15" s="22">
        <f>C9*(Enrollment!C3+Enrollment!C5)*(C4*Enrollment!C31)</f>
        <v>2708919.8396833027</v>
      </c>
      <c r="D15" s="22">
        <f>D9*(Enrollment!D3+Enrollment!D5)*(D4*Enrollment!D31)</f>
        <v>2651319.9547128505</v>
      </c>
      <c r="E15" s="22">
        <f>E9*(Enrollment!E3+Enrollment!E5)*(E4*Enrollment!E31)</f>
        <v>2690641.9595644502</v>
      </c>
      <c r="F15" s="22">
        <f>F9*(Enrollment!F3+Enrollment!F5)*(F4*Enrollment!F31)</f>
        <v>2526011.7272801846</v>
      </c>
      <c r="G15" s="22">
        <f>G9*(Enrollment!G3+Enrollment!G5)*(G4*Enrollment!G31)</f>
        <v>2731415.4827176915</v>
      </c>
      <c r="H15" s="22">
        <f>H9*(Enrollment!H3+Enrollment!H5)*(H4*Enrollment!H31)</f>
        <v>2903118.5017827405</v>
      </c>
      <c r="I15" s="13"/>
      <c r="J15" s="13"/>
      <c r="K15" s="13"/>
      <c r="L15" s="13"/>
      <c r="M15" s="13"/>
      <c r="N15" s="13"/>
      <c r="O15" s="13"/>
      <c r="P15" s="13"/>
    </row>
    <row r="16" spans="1:16" x14ac:dyDescent="0.25">
      <c r="A16" s="10" t="s">
        <v>388</v>
      </c>
      <c r="B16" s="24"/>
      <c r="C16" s="22">
        <f>C10*(Enrollment!C4+Enrollment!C6)*(C5*Enrollment!C32)</f>
        <v>2328519.8396833031</v>
      </c>
      <c r="D16" s="22">
        <f>D10*(Enrollment!D4+Enrollment!D6)*(D5*Enrollment!D32)</f>
        <v>2312726.1390072503</v>
      </c>
      <c r="E16" s="22">
        <f>E10*(Enrollment!E4+Enrollment!E6)*(E5*Enrollment!E32)</f>
        <v>2357379.392521142</v>
      </c>
      <c r="F16" s="22">
        <f>F10*(Enrollment!F4+Enrollment!F6)*(F5*Enrollment!F32)</f>
        <v>2261249.8202598919</v>
      </c>
      <c r="G16" s="22">
        <f>G10*(Enrollment!G4+Enrollment!G6)*(G5*Enrollment!G32)</f>
        <v>2408757.2383202729</v>
      </c>
      <c r="H16" s="22">
        <f>H10*(Enrollment!H4+Enrollment!H6)*(H5*Enrollment!H32)</f>
        <v>2413128.6929593165</v>
      </c>
      <c r="I16" s="13"/>
      <c r="J16" s="13"/>
      <c r="K16" s="13"/>
      <c r="L16" s="13"/>
      <c r="M16" s="13"/>
      <c r="N16" s="13"/>
      <c r="O16" s="13"/>
      <c r="P16" s="13"/>
    </row>
    <row r="17" spans="1:16" x14ac:dyDescent="0.25">
      <c r="A17" s="10" t="s">
        <v>389</v>
      </c>
      <c r="B17" s="24"/>
      <c r="C17" s="22">
        <f>C11*C6*Enrollment!C33*((Enrollment!C7*Enrollment!$B$20)+(Enrollment!C9*Enrollment!$B$22))</f>
        <v>429426.59992873785</v>
      </c>
      <c r="D17" s="22">
        <f>D11*D6*Enrollment!D33*((Enrollment!D7*Enrollment!$B$20)+(Enrollment!D9*Enrollment!$B$22))</f>
        <v>451025.17051662522</v>
      </c>
      <c r="E17" s="22">
        <f>E11*E6*Enrollment!E33*((Enrollment!E7*Enrollment!$B$20)+(Enrollment!E9*Enrollment!$B$22))</f>
        <v>465326.14205534145</v>
      </c>
      <c r="F17" s="22">
        <f>F11*F6*Enrollment!F33*((Enrollment!F7*Enrollment!$B$20)+(Enrollment!F9*Enrollment!$B$22))</f>
        <v>477436.04936218483</v>
      </c>
      <c r="G17" s="22">
        <f>G11*G6*Enrollment!G33*((Enrollment!G7*Enrollment!$B$20)+(Enrollment!G9*Enrollment!$B$22))</f>
        <v>480001.59688672482</v>
      </c>
      <c r="H17" s="22">
        <f>H11*H6*Enrollment!H33*((Enrollment!H7*Enrollment!$B$20)+(Enrollment!H9*Enrollment!$B$22))</f>
        <v>406649.27568269032</v>
      </c>
      <c r="I17" s="13"/>
      <c r="J17" s="13"/>
      <c r="K17" s="13"/>
      <c r="L17" s="13"/>
      <c r="M17" s="13"/>
      <c r="N17" s="13"/>
      <c r="O17" s="13"/>
      <c r="P17" s="13"/>
    </row>
    <row r="18" spans="1:16" x14ac:dyDescent="0.25">
      <c r="A18" s="10" t="s">
        <v>390</v>
      </c>
      <c r="B18" s="24"/>
      <c r="C18" s="5">
        <f>C12*C7*Enrollment!C34*((Enrollment!C8*Enrollment!$B$20)+(Enrollment!C10*Enrollment!$B$22))</f>
        <v>406503.59992873785</v>
      </c>
      <c r="D18" s="5">
        <f>D12*D7*Enrollment!D34*((Enrollment!D8*Enrollment!$B$20)+(Enrollment!D10*Enrollment!$B$22))</f>
        <v>421615.67375416134</v>
      </c>
      <c r="E18" s="5">
        <f>E12*E7*Enrollment!E34*((Enrollment!E8*Enrollment!$B$20)+(Enrollment!E10*Enrollment!$B$22))</f>
        <v>432418.67484757211</v>
      </c>
      <c r="F18" s="5">
        <f>F12*F7*Enrollment!F34*((Enrollment!F8*Enrollment!$B$20)+(Enrollment!F10*Enrollment!$B$22))</f>
        <v>437362.91607628559</v>
      </c>
      <c r="G18" s="5">
        <f>G12*G7*Enrollment!G34*((Enrollment!G8*Enrollment!$B$20)+(Enrollment!G10*Enrollment!$B$22))</f>
        <v>439483.41523188399</v>
      </c>
      <c r="H18" s="5">
        <f>H12*H7*Enrollment!H34*((Enrollment!H8*Enrollment!$B$20)+(Enrollment!H10*Enrollment!$B$22))</f>
        <v>312964.48527501157</v>
      </c>
      <c r="I18" s="13"/>
      <c r="J18" s="13"/>
      <c r="K18" s="13"/>
      <c r="L18" s="13"/>
      <c r="M18" s="13"/>
      <c r="N18" s="13"/>
      <c r="O18" s="13"/>
      <c r="P18" s="13"/>
    </row>
    <row r="19" spans="1:16" x14ac:dyDescent="0.25">
      <c r="A19" s="130" t="s">
        <v>372</v>
      </c>
      <c r="B19" s="24"/>
      <c r="C19" s="34">
        <f>C15+C17</f>
        <v>3138346.4396120403</v>
      </c>
      <c r="D19" s="34">
        <f t="shared" ref="D19:H19" si="0">D15+D17</f>
        <v>3102345.1252294756</v>
      </c>
      <c r="E19" s="34">
        <f t="shared" si="0"/>
        <v>3155968.1016197917</v>
      </c>
      <c r="F19" s="34">
        <f t="shared" si="0"/>
        <v>3003447.7766423696</v>
      </c>
      <c r="G19" s="34">
        <f t="shared" si="0"/>
        <v>3211417.0796044162</v>
      </c>
      <c r="H19" s="34">
        <f t="shared" si="0"/>
        <v>3309767.777465431</v>
      </c>
      <c r="I19" s="13"/>
      <c r="J19" s="13"/>
      <c r="K19" s="13"/>
      <c r="L19" s="13"/>
      <c r="M19" s="13"/>
      <c r="N19" s="13"/>
      <c r="O19" s="13"/>
      <c r="P19" s="13"/>
    </row>
    <row r="20" spans="1:16" x14ac:dyDescent="0.25">
      <c r="A20" s="130" t="s">
        <v>373</v>
      </c>
      <c r="B20" s="24"/>
      <c r="C20" s="34">
        <f>C16+C18</f>
        <v>2735023.4396120412</v>
      </c>
      <c r="D20" s="34">
        <f t="shared" ref="D20:H20" si="1">D16+D18</f>
        <v>2734341.8127614115</v>
      </c>
      <c r="E20" s="34">
        <f t="shared" si="1"/>
        <v>2789798.0673687141</v>
      </c>
      <c r="F20" s="34">
        <f t="shared" si="1"/>
        <v>2698612.7363361777</v>
      </c>
      <c r="G20" s="34">
        <f t="shared" si="1"/>
        <v>2848240.6535521569</v>
      </c>
      <c r="H20" s="34">
        <f t="shared" si="1"/>
        <v>2726093.1782343281</v>
      </c>
      <c r="I20" s="13"/>
      <c r="J20" s="13"/>
      <c r="K20" s="13"/>
      <c r="L20" s="13"/>
      <c r="M20" s="13"/>
      <c r="N20" s="13"/>
      <c r="O20" s="13"/>
      <c r="P20" s="13"/>
    </row>
    <row r="21" spans="1:16" x14ac:dyDescent="0.25">
      <c r="A21" s="13"/>
      <c r="B21" s="24"/>
      <c r="C21" s="34"/>
      <c r="D21" s="34"/>
      <c r="E21" s="34"/>
      <c r="F21" s="34"/>
      <c r="G21" s="34"/>
      <c r="H21" s="34"/>
      <c r="I21" s="13"/>
      <c r="J21" s="13"/>
      <c r="K21" s="13"/>
      <c r="L21" s="13"/>
      <c r="M21" s="13"/>
      <c r="N21" s="13"/>
      <c r="O21" s="13"/>
      <c r="P21" s="13"/>
    </row>
    <row r="22" spans="1:16" x14ac:dyDescent="0.25">
      <c r="A22" s="10" t="s">
        <v>21</v>
      </c>
      <c r="B22" s="133">
        <f>Summary!B26</f>
        <v>0.02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16" x14ac:dyDescent="0.25">
      <c r="A23" s="20" t="s">
        <v>193</v>
      </c>
      <c r="B23" s="105" t="s">
        <v>192</v>
      </c>
      <c r="C23" s="152">
        <f>Summary!F3</f>
        <v>2022</v>
      </c>
      <c r="D23" s="152">
        <f>Summary!G3</f>
        <v>2023</v>
      </c>
      <c r="E23" s="152">
        <f>Summary!H3</f>
        <v>2024</v>
      </c>
      <c r="F23" s="152">
        <f>Summary!I3</f>
        <v>2025</v>
      </c>
      <c r="G23" s="152">
        <f>Summary!J3</f>
        <v>2026</v>
      </c>
      <c r="H23" s="152">
        <f>Summary!K3</f>
        <v>2027</v>
      </c>
      <c r="I23" s="13"/>
      <c r="J23" s="13"/>
      <c r="K23" s="13"/>
      <c r="L23" s="13"/>
      <c r="M23" s="13"/>
      <c r="N23" s="13"/>
      <c r="O23" s="13"/>
      <c r="P23" s="13"/>
    </row>
    <row r="24" spans="1:16" x14ac:dyDescent="0.25">
      <c r="A24" s="10" t="s">
        <v>183</v>
      </c>
      <c r="B24" s="132">
        <v>-0.02</v>
      </c>
      <c r="C24" s="149">
        <v>5000000</v>
      </c>
      <c r="D24" s="4">
        <f>C24*(1+$B24)</f>
        <v>4900000</v>
      </c>
      <c r="E24" s="4">
        <f>D24*(1+$B24)</f>
        <v>4802000</v>
      </c>
      <c r="F24" s="4">
        <f>E24*(1+$B24)</f>
        <v>4705960</v>
      </c>
      <c r="G24" s="4">
        <f>F24*(1+$B24)</f>
        <v>4611840.8</v>
      </c>
      <c r="H24" s="4">
        <f>G24*(1+$B24)</f>
        <v>4519603.9840000002</v>
      </c>
      <c r="I24" s="13"/>
      <c r="J24" s="13"/>
      <c r="K24" s="13"/>
      <c r="L24" s="13"/>
      <c r="M24" s="13"/>
      <c r="N24" s="13"/>
      <c r="O24" s="13"/>
      <c r="P24" s="13"/>
    </row>
    <row r="25" spans="1:16" x14ac:dyDescent="0.25">
      <c r="A25" s="10" t="s">
        <v>184</v>
      </c>
      <c r="B25" s="132">
        <v>-0.02</v>
      </c>
      <c r="C25" s="2">
        <v>500000</v>
      </c>
      <c r="D25" s="4">
        <f>C25*(1+$B25)</f>
        <v>490000</v>
      </c>
      <c r="E25" s="4">
        <f>D25*(1+$B25)</f>
        <v>480200</v>
      </c>
      <c r="F25" s="4">
        <f>E25*(1+$B25)</f>
        <v>470596</v>
      </c>
      <c r="G25" s="4">
        <f>F25*(1+$B25)</f>
        <v>461184.08</v>
      </c>
      <c r="H25" s="4">
        <f>G25*(1+$B25)</f>
        <v>451960.39840000001</v>
      </c>
      <c r="I25" s="13"/>
      <c r="J25" s="13"/>
      <c r="K25" s="13"/>
      <c r="L25" s="13"/>
      <c r="M25" s="13"/>
      <c r="N25" s="13"/>
      <c r="O25" s="13"/>
      <c r="P25" s="13"/>
    </row>
    <row r="26" spans="1:16" x14ac:dyDescent="0.25">
      <c r="A26" s="10" t="s">
        <v>185</v>
      </c>
      <c r="B26" s="132">
        <v>-0.02</v>
      </c>
      <c r="C26" s="2">
        <v>2000000</v>
      </c>
      <c r="D26" s="4">
        <f>C26*(1+$B26)</f>
        <v>1960000</v>
      </c>
      <c r="E26" s="4">
        <f>D26*(1+$B26)</f>
        <v>1920800</v>
      </c>
      <c r="F26" s="4">
        <f>E26*(1+$B26)</f>
        <v>1882384</v>
      </c>
      <c r="G26" s="4">
        <f>F26*(1+$B26)</f>
        <v>1844736.32</v>
      </c>
      <c r="H26" s="4">
        <f>G26*(1+$B26)</f>
        <v>1807841.5936</v>
      </c>
      <c r="I26" s="13"/>
      <c r="J26" s="13"/>
      <c r="K26" s="13"/>
      <c r="L26" s="13"/>
      <c r="M26" s="13"/>
      <c r="N26" s="13"/>
      <c r="O26" s="13"/>
      <c r="P26" s="13"/>
    </row>
    <row r="27" spans="1:16" x14ac:dyDescent="0.25">
      <c r="A27" s="10" t="s">
        <v>186</v>
      </c>
      <c r="B27" s="132">
        <v>0</v>
      </c>
      <c r="C27" s="2">
        <v>0</v>
      </c>
      <c r="D27" s="4">
        <f>C27*(1+$B27)</f>
        <v>0</v>
      </c>
      <c r="E27" s="4">
        <f>D27*(1+$B27)</f>
        <v>0</v>
      </c>
      <c r="F27" s="4">
        <f>E27*(1+$B27)</f>
        <v>0</v>
      </c>
      <c r="G27" s="4">
        <f>F27*(1+$B27)</f>
        <v>0</v>
      </c>
      <c r="H27" s="4">
        <f>G27*(1+$B27)</f>
        <v>0</v>
      </c>
      <c r="I27" s="13"/>
      <c r="J27" s="13"/>
      <c r="K27" s="13"/>
      <c r="L27" s="13"/>
      <c r="M27" s="13"/>
      <c r="N27" s="13"/>
      <c r="O27" s="13"/>
      <c r="P27" s="13"/>
    </row>
    <row r="28" spans="1:16" x14ac:dyDescent="0.25">
      <c r="A28" s="10" t="s">
        <v>187</v>
      </c>
      <c r="B28" s="132">
        <v>0.02</v>
      </c>
      <c r="C28" s="2">
        <v>400000</v>
      </c>
      <c r="D28" s="4">
        <f>C28*(1+$B28)</f>
        <v>408000</v>
      </c>
      <c r="E28" s="4">
        <f>D28*(1+$B28)</f>
        <v>416160</v>
      </c>
      <c r="F28" s="4">
        <f>E28*(1+$B28)</f>
        <v>424483.2</v>
      </c>
      <c r="G28" s="4">
        <f>F28*(1+$B28)</f>
        <v>432972.864</v>
      </c>
      <c r="H28" s="4">
        <f>G28*(1+$B28)</f>
        <v>441632.32128000003</v>
      </c>
      <c r="I28" s="13"/>
      <c r="J28" s="13"/>
      <c r="K28" s="13"/>
      <c r="L28" s="13"/>
      <c r="M28" s="13"/>
      <c r="N28" s="13"/>
      <c r="O28" s="13"/>
      <c r="P28" s="13"/>
    </row>
    <row r="29" spans="1:16" x14ac:dyDescent="0.25">
      <c r="A29" s="10" t="s">
        <v>188</v>
      </c>
      <c r="B29" s="23"/>
      <c r="C29" s="5">
        <f>C19+C20</f>
        <v>5873369.8792240815</v>
      </c>
      <c r="D29" s="5">
        <f>D19+D20</f>
        <v>5836686.9379908871</v>
      </c>
      <c r="E29" s="5">
        <f>E19+E20</f>
        <v>5945766.1689885054</v>
      </c>
      <c r="F29" s="5">
        <f>F19+F20</f>
        <v>5702060.5129785473</v>
      </c>
      <c r="G29" s="5">
        <f>G19+G20</f>
        <v>6059657.733156573</v>
      </c>
      <c r="H29" s="5">
        <f>H19+H20</f>
        <v>6035860.9556997586</v>
      </c>
      <c r="I29" s="13"/>
      <c r="J29" s="13"/>
      <c r="K29" s="13"/>
      <c r="L29" s="13"/>
      <c r="M29" s="13"/>
      <c r="N29" s="13"/>
      <c r="O29" s="13"/>
      <c r="P29" s="13"/>
    </row>
    <row r="30" spans="1:16" x14ac:dyDescent="0.25">
      <c r="A30" s="130" t="s">
        <v>189</v>
      </c>
      <c r="B30" s="23"/>
      <c r="C30" s="4">
        <f t="shared" ref="C30:H30" si="2">SUM(C24:C29)</f>
        <v>13773369.879224081</v>
      </c>
      <c r="D30" s="4">
        <f t="shared" si="2"/>
        <v>13594686.937990887</v>
      </c>
      <c r="E30" s="4">
        <f t="shared" si="2"/>
        <v>13564926.168988505</v>
      </c>
      <c r="F30" s="4">
        <f t="shared" si="2"/>
        <v>13185483.712978547</v>
      </c>
      <c r="G30" s="4">
        <f t="shared" si="2"/>
        <v>13410391.797156572</v>
      </c>
      <c r="H30" s="4">
        <f t="shared" si="2"/>
        <v>13256899.252979759</v>
      </c>
      <c r="I30" s="13"/>
      <c r="J30" s="13"/>
      <c r="K30" s="13"/>
      <c r="L30" s="13"/>
      <c r="M30" s="13"/>
      <c r="N30" s="13"/>
      <c r="O30" s="13"/>
      <c r="P30" s="13"/>
    </row>
    <row r="31" spans="1:16" x14ac:dyDescent="0.25">
      <c r="A31" s="10" t="s">
        <v>190</v>
      </c>
      <c r="B31" s="132">
        <v>0.02</v>
      </c>
      <c r="C31" s="2">
        <v>50000</v>
      </c>
      <c r="D31" s="4">
        <f>C31*(1+$B31)</f>
        <v>51000</v>
      </c>
      <c r="E31" s="4">
        <f>D31*(1+$B31)</f>
        <v>52020</v>
      </c>
      <c r="F31" s="4">
        <f>E31*(1+$B31)</f>
        <v>53060.4</v>
      </c>
      <c r="G31" s="4">
        <f>F31*(1+$B31)</f>
        <v>54121.608</v>
      </c>
      <c r="H31" s="4">
        <f>G31*(1+$B31)</f>
        <v>55204.040160000004</v>
      </c>
      <c r="I31" s="13"/>
      <c r="J31" s="13"/>
      <c r="K31" s="13"/>
      <c r="L31" s="13"/>
      <c r="M31" s="13"/>
      <c r="N31" s="13"/>
      <c r="O31" s="13"/>
      <c r="P31" s="13"/>
    </row>
    <row r="32" spans="1:16" x14ac:dyDescent="0.25">
      <c r="A32" s="10" t="s">
        <v>218</v>
      </c>
      <c r="B32" s="132">
        <v>0.02</v>
      </c>
      <c r="C32" s="2">
        <v>30000</v>
      </c>
      <c r="D32" s="134">
        <f>C32*(1+$B32)</f>
        <v>30600</v>
      </c>
      <c r="E32" s="5">
        <f>D32*(1+$B32)</f>
        <v>31212</v>
      </c>
      <c r="F32" s="5">
        <f>E32*(1+$B32)</f>
        <v>31836.240000000002</v>
      </c>
      <c r="G32" s="5">
        <f>F32*(1+$B32)</f>
        <v>32472.964800000002</v>
      </c>
      <c r="H32" s="5">
        <f>G32*(1+$B32)</f>
        <v>33122.424096000002</v>
      </c>
      <c r="I32" s="13"/>
      <c r="J32" s="13"/>
      <c r="K32" s="13"/>
      <c r="L32" s="13"/>
      <c r="M32" s="13"/>
      <c r="N32" s="13"/>
      <c r="O32" s="13"/>
      <c r="P32" s="13"/>
    </row>
    <row r="33" spans="1:48" x14ac:dyDescent="0.25">
      <c r="A33" s="130" t="s">
        <v>191</v>
      </c>
      <c r="B33" s="23"/>
      <c r="C33" s="4">
        <f>C31+C32</f>
        <v>80000</v>
      </c>
      <c r="D33" s="4">
        <f t="shared" ref="D33:H33" si="3">D31+D32</f>
        <v>81600</v>
      </c>
      <c r="E33" s="4">
        <f t="shared" si="3"/>
        <v>83232</v>
      </c>
      <c r="F33" s="4">
        <f t="shared" si="3"/>
        <v>84896.639999999999</v>
      </c>
      <c r="G33" s="4">
        <f t="shared" si="3"/>
        <v>86594.572799999994</v>
      </c>
      <c r="H33" s="4">
        <f t="shared" si="3"/>
        <v>88326.464256000007</v>
      </c>
      <c r="I33" s="13"/>
      <c r="J33" s="13"/>
      <c r="K33" s="13"/>
      <c r="L33" s="13"/>
      <c r="M33" s="13"/>
      <c r="N33" s="13"/>
      <c r="O33" s="13"/>
      <c r="P33" s="13"/>
    </row>
    <row r="34" spans="1:48" s="13" customFormat="1" x14ac:dyDescent="0.25">
      <c r="A34" s="83"/>
      <c r="B34" s="83"/>
      <c r="C34" s="60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</row>
    <row r="35" spans="1:48" x14ac:dyDescent="0.25">
      <c r="A35" s="130" t="s">
        <v>258</v>
      </c>
      <c r="B35" s="23"/>
      <c r="C35" s="4">
        <f>C29+C31+C32</f>
        <v>5953369.8792240815</v>
      </c>
      <c r="D35" s="4">
        <f t="shared" ref="D35:H35" si="4">D29+D31+D32</f>
        <v>5918286.9379908871</v>
      </c>
      <c r="E35" s="4">
        <f t="shared" si="4"/>
        <v>6028998.1689885054</v>
      </c>
      <c r="F35" s="4">
        <f t="shared" si="4"/>
        <v>5786957.1529785478</v>
      </c>
      <c r="G35" s="4">
        <f t="shared" si="4"/>
        <v>6146252.3059565732</v>
      </c>
      <c r="H35" s="4">
        <f t="shared" si="4"/>
        <v>6124187.4199557593</v>
      </c>
      <c r="I35" s="13"/>
      <c r="J35" s="13"/>
      <c r="K35" s="13"/>
      <c r="L35" s="13"/>
      <c r="M35" s="13"/>
      <c r="N35" s="13"/>
      <c r="O35" s="13"/>
      <c r="P35" s="13"/>
    </row>
    <row r="36" spans="1:48" x14ac:dyDescent="0.25">
      <c r="A36" s="83"/>
      <c r="B36" s="8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</row>
    <row r="37" spans="1:48" x14ac:dyDescent="0.25">
      <c r="A37" s="193" t="s">
        <v>219</v>
      </c>
      <c r="B37" s="11" t="s">
        <v>239</v>
      </c>
      <c r="C37" s="151">
        <f>Summary!F3</f>
        <v>2022</v>
      </c>
      <c r="D37" s="151">
        <f>Summary!G3</f>
        <v>2023</v>
      </c>
      <c r="E37" s="151">
        <f>Summary!H3</f>
        <v>2024</v>
      </c>
      <c r="F37" s="151">
        <f>Summary!I3</f>
        <v>2025</v>
      </c>
      <c r="G37" s="151">
        <f>Summary!J3</f>
        <v>2026</v>
      </c>
      <c r="H37" s="151">
        <f>Summary!K3</f>
        <v>2027</v>
      </c>
      <c r="I37" s="13"/>
      <c r="J37" s="13"/>
      <c r="K37" s="13"/>
      <c r="L37" s="13"/>
      <c r="M37" s="13"/>
      <c r="N37" s="13"/>
      <c r="O37" s="13"/>
      <c r="P37" s="13"/>
    </row>
    <row r="38" spans="1:48" x14ac:dyDescent="0.25">
      <c r="A38" s="10" t="s">
        <v>220</v>
      </c>
      <c r="B38" s="83"/>
      <c r="C38" s="32">
        <f>C35/Enrollment!C44</f>
        <v>0.19662721918946538</v>
      </c>
      <c r="D38" s="32">
        <f>D35/Enrollment!D44</f>
        <v>0.20864326456305801</v>
      </c>
      <c r="E38" s="32">
        <f>E35/Enrollment!E44</f>
        <v>0.22302072854676472</v>
      </c>
      <c r="F38" s="32">
        <f>F35/Enrollment!F44</f>
        <v>0.23609585633018926</v>
      </c>
      <c r="G38" s="32">
        <f>G35/Enrollment!G44</f>
        <v>0.25563229314273705</v>
      </c>
      <c r="H38" s="32">
        <f>H35/Enrollment!H44</f>
        <v>0.28625659058837316</v>
      </c>
      <c r="I38" s="13"/>
      <c r="J38" s="13"/>
      <c r="K38" s="13"/>
      <c r="L38" s="13"/>
      <c r="M38" s="13"/>
      <c r="N38" s="13"/>
      <c r="O38" s="13"/>
      <c r="P38" s="13"/>
    </row>
    <row r="39" spans="1:48" x14ac:dyDescent="0.25">
      <c r="A39" s="10" t="s">
        <v>260</v>
      </c>
      <c r="B39" s="83"/>
      <c r="C39" s="4">
        <f>Enrollment!C44/C42</f>
        <v>3027.7445329110587</v>
      </c>
      <c r="D39" s="4">
        <f>Enrollment!D44/D42</f>
        <v>2727.4594889110585</v>
      </c>
      <c r="E39" s="4">
        <f>Enrollment!E44/E42</f>
        <v>2499.3854839112587</v>
      </c>
      <c r="F39" s="4">
        <f>Enrollment!F44/F42</f>
        <v>2179.0233495617272</v>
      </c>
      <c r="G39" s="4">
        <f>Enrollment!G44/G42</f>
        <v>2055.2341668836866</v>
      </c>
      <c r="H39" s="4">
        <f>Enrollment!H44/H42</f>
        <v>1758.4348493042889</v>
      </c>
      <c r="I39" s="13"/>
      <c r="J39" s="13"/>
      <c r="K39" s="13"/>
      <c r="L39" s="13"/>
      <c r="M39" s="13"/>
      <c r="N39" s="13"/>
      <c r="O39" s="13"/>
      <c r="P39" s="13"/>
    </row>
    <row r="40" spans="1:48" x14ac:dyDescent="0.25">
      <c r="A40" s="10" t="s">
        <v>259</v>
      </c>
      <c r="B40" s="83"/>
      <c r="C40" s="4">
        <f>(Enrollment!C27+Enrollment!C28)/2</f>
        <v>2544.574420029473</v>
      </c>
      <c r="D40" s="4">
        <f>(Enrollment!C28+Enrollment!D27)/2</f>
        <v>2404.5272325294732</v>
      </c>
      <c r="E40" s="4">
        <f>(Enrollment!D27+Enrollment!D28)/2</f>
        <v>2290.462920029473</v>
      </c>
      <c r="F40" s="4">
        <f>(Enrollment!D28+Enrollment!E27)/2</f>
        <v>2188.9729879982228</v>
      </c>
      <c r="G40" s="4">
        <f>(Enrollment!E27+Enrollment!E28)/2</f>
        <v>2101.0694143263481</v>
      </c>
      <c r="H40" s="4">
        <f>(Enrollment!E28+Enrollment!F27)/2</f>
        <v>1952.7349571681802</v>
      </c>
      <c r="I40" s="13"/>
      <c r="J40" s="13"/>
      <c r="K40" s="13"/>
      <c r="L40" s="13"/>
      <c r="M40" s="13"/>
      <c r="N40" s="13"/>
      <c r="O40" s="13"/>
      <c r="P40" s="13"/>
    </row>
    <row r="41" spans="1:48" x14ac:dyDescent="0.25">
      <c r="A41" s="10" t="s">
        <v>221</v>
      </c>
      <c r="B41" s="83"/>
      <c r="C41" s="4">
        <f>(Enrollment!C44-(C30+C31))/C39</f>
        <v>5434.4332129192389</v>
      </c>
      <c r="D41" s="4">
        <f>(Enrollment!D44-(D30+D31))/D39</f>
        <v>5396.9240630448576</v>
      </c>
      <c r="E41" s="4">
        <f>(Enrollment!E44-(E30+E31))/E39</f>
        <v>5367.8823500248927</v>
      </c>
      <c r="F41" s="4">
        <f>(Enrollment!F44-(F30+F31))/F39</f>
        <v>5173.1915126576087</v>
      </c>
      <c r="G41" s="4">
        <f>(Enrollment!G44-(G30+G31))/G39</f>
        <v>5147.2574729610451</v>
      </c>
      <c r="H41" s="4">
        <f>(Enrollment!H44-(H30+H31))/H39</f>
        <v>4596.1016644611555</v>
      </c>
      <c r="I41" s="13"/>
      <c r="J41" s="13"/>
      <c r="K41" s="13"/>
      <c r="L41" s="13"/>
      <c r="M41" s="13"/>
      <c r="N41" s="13"/>
      <c r="O41" s="13"/>
      <c r="P41" s="13"/>
    </row>
    <row r="42" spans="1:48" x14ac:dyDescent="0.25">
      <c r="A42" s="10" t="s">
        <v>261</v>
      </c>
      <c r="B42" s="83"/>
      <c r="C42" s="4">
        <f>Enrollment!C31+Enrollment!C32</f>
        <v>10000</v>
      </c>
      <c r="D42" s="4">
        <f>Enrollment!D31+Enrollment!D32</f>
        <v>10400</v>
      </c>
      <c r="E42" s="4">
        <f>Enrollment!E31+Enrollment!E32</f>
        <v>10816</v>
      </c>
      <c r="F42" s="4">
        <f>Enrollment!F31+Enrollment!F32</f>
        <v>11248.640000000001</v>
      </c>
      <c r="G42" s="4">
        <f>Enrollment!G31+Enrollment!G32</f>
        <v>11698.585600000002</v>
      </c>
      <c r="H42" s="4">
        <f>Enrollment!H31+Enrollment!H32</f>
        <v>12166.529024000003</v>
      </c>
      <c r="I42" s="13"/>
      <c r="J42" s="13"/>
      <c r="K42" s="13"/>
      <c r="L42" s="13"/>
      <c r="M42" s="13"/>
      <c r="N42" s="13"/>
      <c r="O42" s="13"/>
      <c r="P42" s="13"/>
    </row>
    <row r="43" spans="1:48" x14ac:dyDescent="0.25">
      <c r="A43" s="10" t="s">
        <v>222</v>
      </c>
      <c r="B43" s="83"/>
      <c r="C43" s="32">
        <f>1-C41/C42</f>
        <v>0.45655667870807615</v>
      </c>
      <c r="D43" s="32">
        <f t="shared" ref="D43:H43" si="5">1-D41/D42</f>
        <v>0.48106499393799451</v>
      </c>
      <c r="E43" s="32">
        <f t="shared" si="5"/>
        <v>0.50370910225361576</v>
      </c>
      <c r="F43" s="32">
        <f t="shared" si="5"/>
        <v>0.5401051582540104</v>
      </c>
      <c r="G43" s="32">
        <f t="shared" si="5"/>
        <v>0.56001027398038239</v>
      </c>
      <c r="H43" s="32">
        <f t="shared" si="5"/>
        <v>0.62223394565576018</v>
      </c>
      <c r="I43" s="13"/>
      <c r="J43" s="13"/>
      <c r="K43" s="13"/>
      <c r="L43" s="13"/>
      <c r="M43" s="13"/>
      <c r="N43" s="13"/>
      <c r="O43" s="13"/>
      <c r="P43" s="13"/>
    </row>
    <row r="44" spans="1:48" x14ac:dyDescent="0.25">
      <c r="A44" s="83"/>
      <c r="B44" s="83"/>
      <c r="C44" s="60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</row>
    <row r="45" spans="1:48" x14ac:dyDescent="0.25">
      <c r="A45" s="83"/>
      <c r="B45" s="83"/>
      <c r="C45" s="60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</row>
    <row r="46" spans="1:48" x14ac:dyDescent="0.25">
      <c r="A46" s="83"/>
      <c r="B46" s="8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</row>
    <row r="47" spans="1:48" x14ac:dyDescent="0.25">
      <c r="A47" s="83"/>
      <c r="B47" s="8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</row>
    <row r="48" spans="1:48" x14ac:dyDescent="0.25">
      <c r="A48" s="83"/>
      <c r="B48" s="8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</row>
    <row r="49" spans="1:16" x14ac:dyDescent="0.25">
      <c r="A49" s="83"/>
      <c r="B49" s="8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</row>
    <row r="50" spans="1:16" x14ac:dyDescent="0.25">
      <c r="A50" s="83"/>
      <c r="B50" s="8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</row>
    <row r="51" spans="1:16" x14ac:dyDescent="0.25">
      <c r="A51" s="83"/>
      <c r="B51" s="8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</row>
    <row r="52" spans="1:16" x14ac:dyDescent="0.25">
      <c r="A52" s="83"/>
      <c r="B52" s="8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</row>
    <row r="53" spans="1:16" x14ac:dyDescent="0.25">
      <c r="A53" s="83"/>
      <c r="B53" s="8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</row>
    <row r="54" spans="1:16" x14ac:dyDescent="0.25">
      <c r="A54" s="83"/>
      <c r="B54" s="8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</row>
    <row r="55" spans="1:16" x14ac:dyDescent="0.25">
      <c r="A55" s="83"/>
      <c r="B55" s="8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</row>
    <row r="56" spans="1:16" x14ac:dyDescent="0.25">
      <c r="A56" s="83"/>
      <c r="B56" s="8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</row>
    <row r="57" spans="1:16" x14ac:dyDescent="0.25">
      <c r="I57" s="13"/>
      <c r="J57" s="13"/>
      <c r="K57" s="13"/>
      <c r="L57" s="13"/>
      <c r="M57" s="13"/>
      <c r="N57" s="13"/>
      <c r="O57" s="13"/>
      <c r="P57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1E16A-3741-4C7F-9462-82F8460DA1BB}">
  <dimension ref="A1:X196"/>
  <sheetViews>
    <sheetView workbookViewId="0"/>
  </sheetViews>
  <sheetFormatPr defaultRowHeight="15" x14ac:dyDescent="0.25"/>
  <cols>
    <col min="1" max="1" width="27.7109375" style="93" customWidth="1"/>
    <col min="2" max="5" width="12.42578125" customWidth="1"/>
    <col min="6" max="7" width="10.7109375" customWidth="1"/>
    <col min="8" max="9" width="12.42578125" customWidth="1"/>
    <col min="11" max="15" width="12.7109375" customWidth="1"/>
  </cols>
  <sheetData>
    <row r="1" spans="1:24" ht="15.75" x14ac:dyDescent="0.25">
      <c r="A1" s="98" t="str">
        <f>Summary!A1</f>
        <v>Old Talc Mine State College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</row>
    <row r="2" spans="1:24" x14ac:dyDescent="0.25">
      <c r="A2" s="11" t="s">
        <v>35</v>
      </c>
      <c r="B2" s="60"/>
      <c r="C2" s="60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4" ht="30" x14ac:dyDescent="0.25">
      <c r="A3" s="11" t="s">
        <v>88</v>
      </c>
      <c r="B3" s="21" t="s">
        <v>77</v>
      </c>
      <c r="C3" s="21" t="s">
        <v>78</v>
      </c>
      <c r="D3" s="21" t="s">
        <v>79</v>
      </c>
      <c r="E3" s="21" t="s">
        <v>80</v>
      </c>
      <c r="F3" s="21" t="s">
        <v>154</v>
      </c>
      <c r="G3" s="21" t="s">
        <v>155</v>
      </c>
      <c r="H3" s="21" t="s">
        <v>75</v>
      </c>
      <c r="I3" s="21" t="s">
        <v>76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</row>
    <row r="4" spans="1:24" x14ac:dyDescent="0.25">
      <c r="A4" s="10">
        <v>0</v>
      </c>
      <c r="B4" s="31">
        <v>0.2</v>
      </c>
      <c r="C4" s="31">
        <v>0.1</v>
      </c>
      <c r="D4" s="31">
        <v>0.1</v>
      </c>
      <c r="E4" s="31">
        <v>0.15</v>
      </c>
      <c r="F4" s="31">
        <v>0</v>
      </c>
      <c r="G4" s="31">
        <v>0</v>
      </c>
      <c r="H4" s="31">
        <v>0</v>
      </c>
      <c r="I4" s="31">
        <v>0</v>
      </c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</row>
    <row r="5" spans="1:24" x14ac:dyDescent="0.25">
      <c r="A5" s="10">
        <f>A4+1</f>
        <v>1</v>
      </c>
      <c r="B5" s="31">
        <v>0.21</v>
      </c>
      <c r="C5" s="31">
        <v>0.1</v>
      </c>
      <c r="D5" s="31">
        <v>0.1</v>
      </c>
      <c r="E5" s="31">
        <v>0.15</v>
      </c>
      <c r="F5" s="31">
        <v>0.01</v>
      </c>
      <c r="G5" s="31">
        <v>0.02</v>
      </c>
      <c r="H5" s="31">
        <v>0</v>
      </c>
      <c r="I5" s="31">
        <v>0</v>
      </c>
      <c r="J5" s="13"/>
      <c r="K5" s="16"/>
      <c r="L5" s="16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</row>
    <row r="6" spans="1:24" x14ac:dyDescent="0.25">
      <c r="A6" s="10">
        <f t="shared" ref="A6:A14" si="0">A5+1</f>
        <v>2</v>
      </c>
      <c r="B6" s="31">
        <v>0.22</v>
      </c>
      <c r="C6" s="31">
        <v>0.1</v>
      </c>
      <c r="D6" s="31">
        <v>0.1</v>
      </c>
      <c r="E6" s="31">
        <v>0.15</v>
      </c>
      <c r="F6" s="31">
        <v>0.02</v>
      </c>
      <c r="G6" s="31">
        <v>0.03</v>
      </c>
      <c r="H6" s="31">
        <v>0</v>
      </c>
      <c r="I6" s="31">
        <v>0</v>
      </c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 spans="1:24" x14ac:dyDescent="0.25">
      <c r="A7" s="10">
        <f t="shared" si="0"/>
        <v>3</v>
      </c>
      <c r="B7" s="31">
        <v>0.23</v>
      </c>
      <c r="C7" s="31">
        <v>0.1</v>
      </c>
      <c r="D7" s="31">
        <v>0.1</v>
      </c>
      <c r="E7" s="31">
        <v>0.15</v>
      </c>
      <c r="F7" s="31">
        <v>0.03</v>
      </c>
      <c r="G7" s="31">
        <v>0.04</v>
      </c>
      <c r="H7" s="31">
        <v>0</v>
      </c>
      <c r="I7" s="31">
        <v>0</v>
      </c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</row>
    <row r="8" spans="1:24" x14ac:dyDescent="0.25">
      <c r="A8" s="10">
        <f t="shared" si="0"/>
        <v>4</v>
      </c>
      <c r="B8" s="31">
        <v>0.24</v>
      </c>
      <c r="C8" s="31">
        <v>0.1</v>
      </c>
      <c r="D8" s="31">
        <v>0.1</v>
      </c>
      <c r="E8" s="31">
        <v>0.15</v>
      </c>
      <c r="F8" s="31">
        <v>0.03</v>
      </c>
      <c r="G8" s="31">
        <v>0.05</v>
      </c>
      <c r="H8" s="31">
        <v>0</v>
      </c>
      <c r="I8" s="3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</row>
    <row r="9" spans="1:24" x14ac:dyDescent="0.25">
      <c r="A9" s="10">
        <f t="shared" si="0"/>
        <v>5</v>
      </c>
      <c r="B9" s="31">
        <v>0.25</v>
      </c>
      <c r="C9" s="31">
        <v>0.1</v>
      </c>
      <c r="D9" s="31">
        <v>0.1</v>
      </c>
      <c r="E9" s="31">
        <v>0.15</v>
      </c>
      <c r="F9" s="31">
        <v>0.03</v>
      </c>
      <c r="G9" s="31">
        <v>0.05</v>
      </c>
      <c r="H9" s="31">
        <v>0</v>
      </c>
      <c r="I9" s="3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</row>
    <row r="10" spans="1:24" x14ac:dyDescent="0.25">
      <c r="A10" s="10">
        <f t="shared" si="0"/>
        <v>6</v>
      </c>
      <c r="B10" s="31">
        <v>0.26</v>
      </c>
      <c r="C10" s="31">
        <v>0.1</v>
      </c>
      <c r="D10" s="31">
        <v>0.1</v>
      </c>
      <c r="E10" s="31">
        <v>0.15</v>
      </c>
      <c r="F10" s="31">
        <v>0.03</v>
      </c>
      <c r="G10" s="31">
        <v>0.05</v>
      </c>
      <c r="H10" s="31">
        <v>0.01</v>
      </c>
      <c r="I10" s="3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</row>
    <row r="11" spans="1:24" x14ac:dyDescent="0.25">
      <c r="A11" s="10">
        <f t="shared" si="0"/>
        <v>7</v>
      </c>
      <c r="B11" s="31">
        <v>0.27</v>
      </c>
      <c r="C11" s="31">
        <v>0.1</v>
      </c>
      <c r="D11" s="31">
        <v>0.1</v>
      </c>
      <c r="E11" s="31">
        <v>0.15</v>
      </c>
      <c r="F11" s="31">
        <v>0.03</v>
      </c>
      <c r="G11" s="31">
        <v>0.05</v>
      </c>
      <c r="H11" s="31">
        <v>0.02</v>
      </c>
      <c r="I11" s="31">
        <v>0</v>
      </c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</row>
    <row r="12" spans="1:24" x14ac:dyDescent="0.25">
      <c r="A12" s="10">
        <f t="shared" si="0"/>
        <v>8</v>
      </c>
      <c r="B12" s="31">
        <v>0.28000000000000003</v>
      </c>
      <c r="C12" s="31">
        <v>0.1</v>
      </c>
      <c r="D12" s="31">
        <v>0.1</v>
      </c>
      <c r="E12" s="31">
        <v>0.15</v>
      </c>
      <c r="F12" s="31">
        <v>0.03</v>
      </c>
      <c r="G12" s="31">
        <v>0.05</v>
      </c>
      <c r="H12" s="31">
        <v>0.15</v>
      </c>
      <c r="I12" s="31">
        <v>0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</row>
    <row r="13" spans="1:24" x14ac:dyDescent="0.25">
      <c r="A13" s="10">
        <f t="shared" si="0"/>
        <v>9</v>
      </c>
      <c r="B13" s="31">
        <v>0.28999999999999998</v>
      </c>
      <c r="C13" s="31">
        <v>0.1</v>
      </c>
      <c r="D13" s="31">
        <v>0.1</v>
      </c>
      <c r="E13" s="31">
        <v>0.15</v>
      </c>
      <c r="F13" s="31">
        <v>0.03</v>
      </c>
      <c r="G13" s="31">
        <v>0.05</v>
      </c>
      <c r="H13" s="31">
        <v>0.15</v>
      </c>
      <c r="I13" s="31">
        <v>0</v>
      </c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</row>
    <row r="14" spans="1:24" x14ac:dyDescent="0.25">
      <c r="A14" s="10">
        <f t="shared" si="0"/>
        <v>10</v>
      </c>
      <c r="B14" s="31">
        <v>0.3</v>
      </c>
      <c r="C14" s="31">
        <v>0.1</v>
      </c>
      <c r="D14" s="31">
        <v>0.1</v>
      </c>
      <c r="E14" s="31">
        <v>0.15</v>
      </c>
      <c r="F14" s="31">
        <v>0.03</v>
      </c>
      <c r="G14" s="31">
        <v>0.05</v>
      </c>
      <c r="H14" s="31">
        <v>0.15</v>
      </c>
      <c r="I14" s="31">
        <v>0.03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</row>
    <row r="15" spans="1:24" x14ac:dyDescent="0.25">
      <c r="A15" s="10">
        <f>A14+1</f>
        <v>11</v>
      </c>
      <c r="B15" s="31">
        <v>0.31</v>
      </c>
      <c r="C15" s="31">
        <v>0.1</v>
      </c>
      <c r="D15" s="31">
        <v>0.1</v>
      </c>
      <c r="E15" s="31">
        <v>0.15</v>
      </c>
      <c r="F15" s="31">
        <v>0.03</v>
      </c>
      <c r="G15" s="31">
        <v>0.05</v>
      </c>
      <c r="H15" s="31">
        <v>0.15</v>
      </c>
      <c r="I15" s="31">
        <v>0.04</v>
      </c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</row>
    <row r="16" spans="1:24" x14ac:dyDescent="0.25">
      <c r="A16" s="8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9" t="s">
        <v>115</v>
      </c>
      <c r="M16" s="8"/>
      <c r="N16" s="9" t="str">
        <f>"Coninuing Since  "&amp;$A$18</f>
        <v>Coninuing Since  New Fall 2022</v>
      </c>
      <c r="O16" s="8"/>
      <c r="P16" s="8"/>
      <c r="Q16" s="11" t="s">
        <v>116</v>
      </c>
      <c r="R16" s="13"/>
      <c r="S16" s="13"/>
      <c r="T16" s="13"/>
      <c r="U16" s="13"/>
      <c r="V16" s="13"/>
      <c r="W16" s="13"/>
      <c r="X16" s="13"/>
    </row>
    <row r="17" spans="1:24" x14ac:dyDescent="0.25">
      <c r="A17" s="11" t="s">
        <v>86</v>
      </c>
      <c r="B17" s="12" t="s">
        <v>71</v>
      </c>
      <c r="C17" s="12" t="s">
        <v>72</v>
      </c>
      <c r="D17" s="12" t="s">
        <v>82</v>
      </c>
      <c r="E17" s="12" t="s">
        <v>81</v>
      </c>
      <c r="F17" s="12" t="s">
        <v>73</v>
      </c>
      <c r="G17" s="12" t="s">
        <v>83</v>
      </c>
      <c r="H17" s="12" t="s">
        <v>84</v>
      </c>
      <c r="I17" s="12" t="s">
        <v>70</v>
      </c>
      <c r="J17" s="12" t="s">
        <v>74</v>
      </c>
      <c r="K17" s="12" t="s">
        <v>85</v>
      </c>
      <c r="L17" s="12" t="s">
        <v>89</v>
      </c>
      <c r="M17" s="12" t="s">
        <v>90</v>
      </c>
      <c r="N17" s="12" t="s">
        <v>89</v>
      </c>
      <c r="O17" s="12" t="s">
        <v>90</v>
      </c>
      <c r="P17" s="12" t="s">
        <v>89</v>
      </c>
      <c r="Q17" s="12" t="s">
        <v>90</v>
      </c>
      <c r="R17" s="13"/>
      <c r="S17" s="13"/>
      <c r="T17" s="13"/>
      <c r="U17" s="13"/>
      <c r="V17" s="13"/>
      <c r="W17" s="13"/>
      <c r="X17" s="13"/>
    </row>
    <row r="18" spans="1:24" x14ac:dyDescent="0.25">
      <c r="A18" s="11" t="str">
        <f>"New Fall "&amp;Enrollment!C2</f>
        <v>New Fall 2022</v>
      </c>
      <c r="B18" s="92">
        <f>Enrollment!C3</f>
        <v>480</v>
      </c>
      <c r="C18" s="92">
        <f>Enrollment!C7</f>
        <v>120</v>
      </c>
      <c r="D18" s="4">
        <f>D4*B18</f>
        <v>48</v>
      </c>
      <c r="E18" s="4">
        <f>E4*C18</f>
        <v>18</v>
      </c>
      <c r="F18" s="4">
        <f>D18+E18</f>
        <v>66</v>
      </c>
      <c r="G18" s="4">
        <v>0</v>
      </c>
      <c r="H18" s="4">
        <v>0</v>
      </c>
      <c r="I18" s="4">
        <f>H4*B18+I4*C18</f>
        <v>0</v>
      </c>
      <c r="J18" s="4">
        <f>I18</f>
        <v>0</v>
      </c>
      <c r="K18" s="32">
        <f>J18/(B18+C18)</f>
        <v>0</v>
      </c>
      <c r="L18" s="4">
        <f>L176</f>
        <v>1777.4331997360855</v>
      </c>
      <c r="M18" s="6">
        <f>M176</f>
        <v>2440.7814810415916</v>
      </c>
      <c r="N18" s="6">
        <v>0</v>
      </c>
      <c r="O18" s="6">
        <v>0</v>
      </c>
      <c r="P18" s="6">
        <f>L18+N18</f>
        <v>1777.4331997360855</v>
      </c>
      <c r="Q18" s="6">
        <f>M18+O18</f>
        <v>2440.7814810415916</v>
      </c>
      <c r="R18" s="13"/>
      <c r="S18" s="13"/>
      <c r="T18" s="13"/>
      <c r="U18" s="13"/>
      <c r="V18" s="13"/>
      <c r="W18" s="13"/>
      <c r="X18" s="13"/>
    </row>
    <row r="19" spans="1:24" x14ac:dyDescent="0.25">
      <c r="A19" s="11" t="str">
        <f>"Spring "&amp;Enrollment!C2</f>
        <v>Spring 2022</v>
      </c>
      <c r="B19" s="4">
        <f>IF(B18-D18+G18-(B18*(B4+H4))+(C18*(C4))&lt;0,0,B18-D18+G18-(B18*(B4+H4))+(C18*(C4)))</f>
        <v>348</v>
      </c>
      <c r="C19" s="4">
        <f t="shared" ref="C19:C29" si="1">IF(C18-E18+H18-(C18*(C4+I4))+(B18*(B4))&lt;0,0,C18-E18+H18-(C18*(C4+I4))+(B18*(B4)))</f>
        <v>186</v>
      </c>
      <c r="D19" s="4">
        <f>D5*B19</f>
        <v>34.800000000000004</v>
      </c>
      <c r="E19" s="4">
        <f>E5*C19</f>
        <v>27.9</v>
      </c>
      <c r="F19" s="4">
        <f>F18+D19+E19</f>
        <v>128.70000000000002</v>
      </c>
      <c r="G19" s="4">
        <f>F5*F18</f>
        <v>0.66</v>
      </c>
      <c r="H19" s="4">
        <f>G5*F18</f>
        <v>1.32</v>
      </c>
      <c r="I19" s="4">
        <f>H5*B19+I5*C19</f>
        <v>0</v>
      </c>
      <c r="J19" s="4">
        <f>J18+I19</f>
        <v>0</v>
      </c>
      <c r="K19" s="32">
        <f t="shared" ref="K19:K29" si="2">J19/(B19+C19)</f>
        <v>0</v>
      </c>
      <c r="L19" s="100"/>
      <c r="M19" s="13"/>
      <c r="N19" s="13"/>
      <c r="O19" s="16"/>
      <c r="P19" s="13"/>
      <c r="Q19" s="13"/>
      <c r="R19" s="13"/>
      <c r="S19" s="13"/>
      <c r="T19" s="13"/>
      <c r="U19" s="13"/>
      <c r="V19" s="13"/>
      <c r="W19" s="13"/>
      <c r="X19" s="13"/>
    </row>
    <row r="20" spans="1:24" x14ac:dyDescent="0.25">
      <c r="A20" s="11" t="str">
        <f>"Fall "&amp;Enrollment!D2</f>
        <v>Fall 2023</v>
      </c>
      <c r="B20" s="4">
        <f t="shared" ref="B20:B29" si="3">IF(B19-D19+G19-(B19*(B5+H5))+(C19*(C5))&lt;0,0,B19-D19+G19-(B19*(B5+H5))+(C19*(C5)))</f>
        <v>259.38000000000005</v>
      </c>
      <c r="C20" s="4">
        <f t="shared" si="1"/>
        <v>213.89999999999998</v>
      </c>
      <c r="D20" s="4">
        <f t="shared" ref="D20:E20" si="4">D6*B20</f>
        <v>25.938000000000006</v>
      </c>
      <c r="E20" s="4">
        <f t="shared" si="4"/>
        <v>32.084999999999994</v>
      </c>
      <c r="F20" s="4">
        <f t="shared" ref="F20:F29" si="5">F19+D20+E20</f>
        <v>186.72300000000001</v>
      </c>
      <c r="G20" s="4">
        <f t="shared" ref="G20:G29" si="6">F6*F19</f>
        <v>2.5740000000000003</v>
      </c>
      <c r="H20" s="4">
        <f t="shared" ref="H20:H29" si="7">G6*F19</f>
        <v>3.8610000000000002</v>
      </c>
      <c r="I20" s="4">
        <f t="shared" ref="I20:I29" si="8">H6*B20+I6*C20</f>
        <v>0</v>
      </c>
      <c r="J20" s="4">
        <f t="shared" ref="J20:J29" si="9">J19+I20</f>
        <v>0</v>
      </c>
      <c r="K20" s="32">
        <f t="shared" si="2"/>
        <v>0</v>
      </c>
      <c r="L20" s="100"/>
      <c r="M20" s="13"/>
      <c r="N20" s="13"/>
      <c r="O20" s="16"/>
      <c r="P20" s="13"/>
      <c r="Q20" s="13"/>
      <c r="R20" s="13"/>
      <c r="S20" s="13"/>
      <c r="T20" s="13"/>
      <c r="U20" s="13"/>
      <c r="V20" s="13"/>
      <c r="W20" s="13"/>
      <c r="X20" s="13"/>
    </row>
    <row r="21" spans="1:24" x14ac:dyDescent="0.25">
      <c r="A21" s="11" t="str">
        <f>"Spring "&amp;Enrollment!D2</f>
        <v>Spring 2023</v>
      </c>
      <c r="B21" s="4">
        <f t="shared" si="3"/>
        <v>200.34240000000005</v>
      </c>
      <c r="C21" s="4">
        <f t="shared" si="1"/>
        <v>221.34960000000001</v>
      </c>
      <c r="D21" s="4">
        <f t="shared" ref="D21:E21" si="10">D7*B21</f>
        <v>20.034240000000008</v>
      </c>
      <c r="E21" s="4">
        <f t="shared" si="10"/>
        <v>33.202440000000003</v>
      </c>
      <c r="F21" s="4">
        <f t="shared" si="5"/>
        <v>239.95968000000002</v>
      </c>
      <c r="G21" s="4">
        <f t="shared" si="6"/>
        <v>5.6016900000000005</v>
      </c>
      <c r="H21" s="4">
        <f t="shared" si="7"/>
        <v>7.4689200000000007</v>
      </c>
      <c r="I21" s="4">
        <f t="shared" si="8"/>
        <v>0</v>
      </c>
      <c r="J21" s="4">
        <f t="shared" si="9"/>
        <v>0</v>
      </c>
      <c r="K21" s="32">
        <f t="shared" si="2"/>
        <v>0</v>
      </c>
      <c r="L21" s="100"/>
      <c r="M21" s="13"/>
      <c r="N21" s="13"/>
      <c r="O21" s="16"/>
      <c r="P21" s="13"/>
      <c r="Q21" s="13"/>
      <c r="R21" s="13"/>
      <c r="S21" s="13"/>
      <c r="T21" s="13"/>
      <c r="U21" s="13"/>
      <c r="V21" s="13"/>
      <c r="W21" s="13"/>
      <c r="X21" s="13"/>
    </row>
    <row r="22" spans="1:24" x14ac:dyDescent="0.25">
      <c r="A22" s="11" t="str">
        <f>"Fall "&amp;Enrollment!E2</f>
        <v>Fall 2024</v>
      </c>
      <c r="B22" s="4">
        <f t="shared" si="3"/>
        <v>161.96605800000003</v>
      </c>
      <c r="C22" s="4">
        <f t="shared" si="1"/>
        <v>219.55987200000001</v>
      </c>
      <c r="D22" s="4">
        <f t="shared" ref="D22:E22" si="11">D8*B22</f>
        <v>16.196605800000004</v>
      </c>
      <c r="E22" s="4">
        <f t="shared" si="11"/>
        <v>32.9339808</v>
      </c>
      <c r="F22" s="4">
        <f t="shared" si="5"/>
        <v>289.09026660000006</v>
      </c>
      <c r="G22" s="4">
        <f t="shared" si="6"/>
        <v>7.1987904</v>
      </c>
      <c r="H22" s="4">
        <f t="shared" si="7"/>
        <v>11.997984000000002</v>
      </c>
      <c r="I22" s="4">
        <f t="shared" si="8"/>
        <v>0</v>
      </c>
      <c r="J22" s="4">
        <f t="shared" si="9"/>
        <v>0</v>
      </c>
      <c r="K22" s="32">
        <f t="shared" si="2"/>
        <v>0</v>
      </c>
      <c r="L22" s="100"/>
      <c r="M22" s="13"/>
      <c r="N22" s="13"/>
      <c r="O22" s="16"/>
      <c r="P22" s="13"/>
      <c r="Q22" s="13"/>
      <c r="R22" s="13"/>
      <c r="S22" s="13"/>
      <c r="T22" s="13"/>
      <c r="U22" s="13"/>
      <c r="V22" s="13"/>
      <c r="W22" s="13"/>
      <c r="X22" s="13"/>
    </row>
    <row r="23" spans="1:24" x14ac:dyDescent="0.25">
      <c r="A23" s="11" t="str">
        <f>"Spring "&amp;Enrollment!E2</f>
        <v>Spring 2024</v>
      </c>
      <c r="B23" s="4">
        <f t="shared" si="3"/>
        <v>136.05237588000003</v>
      </c>
      <c r="C23" s="4">
        <f t="shared" si="1"/>
        <v>215.53974192000001</v>
      </c>
      <c r="D23" s="4">
        <f t="shared" ref="D23:E23" si="12">D9*B23</f>
        <v>13.605237588000003</v>
      </c>
      <c r="E23" s="4">
        <f t="shared" si="12"/>
        <v>32.330961287999997</v>
      </c>
      <c r="F23" s="4">
        <f t="shared" si="5"/>
        <v>335.02646547600011</v>
      </c>
      <c r="G23" s="4">
        <f t="shared" si="6"/>
        <v>8.6727079980000017</v>
      </c>
      <c r="H23" s="4">
        <f t="shared" si="7"/>
        <v>14.454513330000005</v>
      </c>
      <c r="I23" s="4">
        <f t="shared" si="8"/>
        <v>0</v>
      </c>
      <c r="J23" s="4">
        <f t="shared" si="9"/>
        <v>0</v>
      </c>
      <c r="K23" s="32">
        <f t="shared" si="2"/>
        <v>0</v>
      </c>
      <c r="L23" s="100"/>
      <c r="M23" s="13"/>
      <c r="N23" s="13"/>
      <c r="O23" s="16"/>
      <c r="P23" s="13"/>
      <c r="Q23" s="13"/>
      <c r="R23" s="13"/>
      <c r="S23" s="13"/>
      <c r="T23" s="13"/>
      <c r="U23" s="13"/>
      <c r="V23" s="13"/>
      <c r="W23" s="13"/>
      <c r="X23" s="13"/>
    </row>
    <row r="24" spans="1:24" x14ac:dyDescent="0.25">
      <c r="A24" s="11" t="str">
        <f>"Fall "&amp;Enrollment!F2</f>
        <v>Fall 2025</v>
      </c>
      <c r="B24" s="4">
        <f t="shared" si="3"/>
        <v>118.66072651200002</v>
      </c>
      <c r="C24" s="4">
        <f t="shared" si="1"/>
        <v>210.12241374000001</v>
      </c>
      <c r="D24" s="4">
        <f t="shared" ref="D24:E24" si="13">D10*B24</f>
        <v>11.866072651200003</v>
      </c>
      <c r="E24" s="4">
        <f t="shared" si="13"/>
        <v>31.518362061000001</v>
      </c>
      <c r="F24" s="4">
        <f t="shared" si="5"/>
        <v>378.41090018820012</v>
      </c>
      <c r="G24" s="4">
        <f t="shared" si="6"/>
        <v>10.050793964280002</v>
      </c>
      <c r="H24" s="4">
        <f t="shared" si="7"/>
        <v>16.751323273800008</v>
      </c>
      <c r="I24" s="4">
        <f t="shared" si="8"/>
        <v>1.1866072651200004</v>
      </c>
      <c r="J24" s="4">
        <f t="shared" si="9"/>
        <v>1.1866072651200004</v>
      </c>
      <c r="K24" s="32">
        <f t="shared" si="2"/>
        <v>3.6090879362321009E-3</v>
      </c>
      <c r="L24" s="100"/>
      <c r="M24" s="13"/>
      <c r="N24" s="13"/>
      <c r="O24" s="16"/>
      <c r="P24" s="13"/>
      <c r="Q24" s="13"/>
      <c r="R24" s="13"/>
      <c r="S24" s="13"/>
      <c r="T24" s="13"/>
      <c r="U24" s="13"/>
      <c r="V24" s="13"/>
      <c r="W24" s="13"/>
      <c r="X24" s="13"/>
    </row>
    <row r="25" spans="1:24" x14ac:dyDescent="0.25">
      <c r="A25" s="11" t="str">
        <f>"Spring "&amp;Enrollment!F2</f>
        <v>Spring 2025</v>
      </c>
      <c r="B25" s="4">
        <f>IF(B24-D24+G24-(B24*(B10+H10))+(C24*(C10))&lt;0,0,B24-D24+G24-(B24*(B10+H10))+(C24*(C10)))</f>
        <v>105.81929304084001</v>
      </c>
      <c r="C25" s="4">
        <f t="shared" si="1"/>
        <v>205.19492247192002</v>
      </c>
      <c r="D25" s="4">
        <f t="shared" ref="D25:E25" si="14">D11*B25</f>
        <v>10.581929304084001</v>
      </c>
      <c r="E25" s="4">
        <f t="shared" si="14"/>
        <v>30.779238370788001</v>
      </c>
      <c r="F25" s="4">
        <f t="shared" si="5"/>
        <v>419.7720678630721</v>
      </c>
      <c r="G25" s="4">
        <f t="shared" si="6"/>
        <v>11.352327005646003</v>
      </c>
      <c r="H25" s="4">
        <f t="shared" si="7"/>
        <v>18.920545009410006</v>
      </c>
      <c r="I25" s="4">
        <f t="shared" si="8"/>
        <v>2.1163858608168002</v>
      </c>
      <c r="J25" s="4">
        <f t="shared" si="9"/>
        <v>3.3029931259368004</v>
      </c>
      <c r="K25" s="32">
        <f t="shared" si="2"/>
        <v>1.0620071241731676E-2</v>
      </c>
      <c r="L25" s="100"/>
      <c r="M25" s="13"/>
      <c r="N25" s="13"/>
      <c r="O25" s="16"/>
      <c r="P25" s="13"/>
      <c r="Q25" s="13"/>
      <c r="R25" s="13"/>
      <c r="S25" s="13"/>
      <c r="T25" s="13"/>
      <c r="U25" s="13"/>
      <c r="V25" s="13"/>
      <c r="W25" s="13"/>
      <c r="X25" s="13"/>
    </row>
    <row r="26" spans="1:24" x14ac:dyDescent="0.25">
      <c r="A26" s="11" t="str">
        <f>"Fall "&amp;Enrollment!G2</f>
        <v>Fall 2026</v>
      </c>
      <c r="B26" s="4">
        <f t="shared" si="3"/>
        <v>96.421588007750415</v>
      </c>
      <c r="C26" s="4">
        <f t="shared" si="1"/>
        <v>201.38794598437684</v>
      </c>
      <c r="D26" s="4">
        <f t="shared" ref="D26:E26" si="15">D12*B26</f>
        <v>9.6421588007750429</v>
      </c>
      <c r="E26" s="4">
        <f t="shared" si="15"/>
        <v>30.208191897656526</v>
      </c>
      <c r="F26" s="4">
        <f t="shared" si="5"/>
        <v>459.62241856150371</v>
      </c>
      <c r="G26" s="4">
        <f t="shared" si="6"/>
        <v>12.593162035892162</v>
      </c>
      <c r="H26" s="4">
        <f t="shared" si="7"/>
        <v>20.988603393153607</v>
      </c>
      <c r="I26" s="4">
        <f t="shared" si="8"/>
        <v>14.463238201162561</v>
      </c>
      <c r="J26" s="4">
        <f t="shared" si="9"/>
        <v>17.766231327099362</v>
      </c>
      <c r="K26" s="32">
        <f t="shared" si="2"/>
        <v>5.9656355150701855E-2</v>
      </c>
      <c r="L26" s="100"/>
      <c r="M26" s="13"/>
      <c r="N26" s="13"/>
      <c r="O26" s="16"/>
      <c r="P26" s="13"/>
      <c r="Q26" s="13"/>
      <c r="R26" s="13"/>
      <c r="S26" s="13"/>
      <c r="T26" s="13"/>
      <c r="U26" s="13"/>
      <c r="V26" s="13"/>
      <c r="W26" s="13"/>
      <c r="X26" s="13"/>
    </row>
    <row r="27" spans="1:24" x14ac:dyDescent="0.25">
      <c r="A27" s="11" t="str">
        <f>"Spring "&amp;Enrollment!G2</f>
        <v>Spring 2026</v>
      </c>
      <c r="B27" s="4">
        <f t="shared" si="3"/>
        <v>78.050102997972544</v>
      </c>
      <c r="C27" s="4">
        <f t="shared" si="1"/>
        <v>199.02760752360635</v>
      </c>
      <c r="D27" s="4">
        <f t="shared" ref="D27:E27" si="16">D13*B27</f>
        <v>7.8050102997972548</v>
      </c>
      <c r="E27" s="4">
        <f t="shared" si="16"/>
        <v>29.854141128540952</v>
      </c>
      <c r="F27" s="4">
        <f t="shared" si="5"/>
        <v>497.2815699898419</v>
      </c>
      <c r="G27" s="4">
        <f t="shared" si="6"/>
        <v>13.788672556845111</v>
      </c>
      <c r="H27" s="4">
        <f t="shared" si="7"/>
        <v>22.981120928075185</v>
      </c>
      <c r="I27" s="4">
        <f t="shared" si="8"/>
        <v>11.707515449695881</v>
      </c>
      <c r="J27" s="4">
        <f t="shared" si="9"/>
        <v>29.473746776795245</v>
      </c>
      <c r="K27" s="32">
        <f t="shared" si="2"/>
        <v>0.10637357556229636</v>
      </c>
      <c r="L27" s="100"/>
      <c r="M27" s="13"/>
      <c r="N27" s="13"/>
      <c r="O27" s="16"/>
      <c r="P27" s="13"/>
      <c r="Q27" s="13"/>
      <c r="R27" s="13"/>
      <c r="S27" s="13"/>
      <c r="T27" s="13"/>
      <c r="U27" s="13"/>
      <c r="V27" s="13"/>
      <c r="W27" s="13"/>
      <c r="X27" s="13"/>
    </row>
    <row r="28" spans="1:24" x14ac:dyDescent="0.25">
      <c r="A28" s="11" t="str">
        <f>"Fall "&amp;Enrollment!H2</f>
        <v>Fall 2027</v>
      </c>
      <c r="B28" s="4">
        <f t="shared" si="3"/>
        <v>69.594480688273109</v>
      </c>
      <c r="C28" s="4">
        <f t="shared" si="1"/>
        <v>194.88635644019197</v>
      </c>
      <c r="D28" s="4">
        <f t="shared" ref="D28:E28" si="17">D14*B28</f>
        <v>6.959448068827311</v>
      </c>
      <c r="E28" s="4">
        <f t="shared" si="17"/>
        <v>29.232953466028796</v>
      </c>
      <c r="F28" s="4">
        <f t="shared" si="5"/>
        <v>533.47397152469807</v>
      </c>
      <c r="G28" s="4">
        <f t="shared" si="6"/>
        <v>14.918447099695257</v>
      </c>
      <c r="H28" s="4">
        <f t="shared" si="7"/>
        <v>24.864078499492095</v>
      </c>
      <c r="I28" s="4">
        <f t="shared" si="8"/>
        <v>16.285762796446726</v>
      </c>
      <c r="J28" s="4">
        <f t="shared" si="9"/>
        <v>45.759509573241971</v>
      </c>
      <c r="K28" s="32">
        <f t="shared" si="2"/>
        <v>0.17301635184637371</v>
      </c>
      <c r="L28" s="100"/>
      <c r="M28" s="13"/>
      <c r="N28" s="13"/>
      <c r="O28" s="16"/>
      <c r="P28" s="13"/>
      <c r="Q28" s="13"/>
      <c r="R28" s="13"/>
      <c r="S28" s="13"/>
      <c r="T28" s="13"/>
      <c r="U28" s="13"/>
      <c r="V28" s="13"/>
      <c r="W28" s="13"/>
      <c r="X28" s="13"/>
    </row>
    <row r="29" spans="1:24" x14ac:dyDescent="0.25">
      <c r="A29" s="11" t="str">
        <f>"Spring "&amp;Enrollment!H2</f>
        <v>Spring 2027</v>
      </c>
      <c r="B29" s="4">
        <f t="shared" si="3"/>
        <v>65.724599053437345</v>
      </c>
      <c r="C29" s="4">
        <f t="shared" si="1"/>
        <v>186.06059934291224</v>
      </c>
      <c r="D29" s="4">
        <f t="shared" ref="D29:E29" si="18">D15*B29</f>
        <v>6.5724599053437345</v>
      </c>
      <c r="E29" s="4">
        <f t="shared" si="18"/>
        <v>27.909089901436836</v>
      </c>
      <c r="F29" s="4">
        <f t="shared" si="5"/>
        <v>567.95552133147862</v>
      </c>
      <c r="G29" s="4">
        <f t="shared" si="6"/>
        <v>16.00421914574094</v>
      </c>
      <c r="H29" s="4">
        <f t="shared" si="7"/>
        <v>26.673698576234905</v>
      </c>
      <c r="I29" s="4">
        <f t="shared" si="8"/>
        <v>17.301113831732092</v>
      </c>
      <c r="J29" s="4">
        <f t="shared" si="9"/>
        <v>63.060623404974066</v>
      </c>
      <c r="K29" s="32">
        <f t="shared" si="2"/>
        <v>0.25045405292533007</v>
      </c>
      <c r="L29" s="100"/>
      <c r="M29" s="13"/>
      <c r="N29" s="13"/>
      <c r="O29" s="16"/>
      <c r="P29" s="13"/>
      <c r="Q29" s="13"/>
      <c r="R29" s="13"/>
      <c r="S29" s="13"/>
      <c r="T29" s="13"/>
      <c r="U29" s="13"/>
      <c r="V29" s="13"/>
      <c r="W29" s="13"/>
      <c r="X29" s="13"/>
    </row>
    <row r="30" spans="1:24" x14ac:dyDescent="0.25">
      <c r="A30" s="83"/>
      <c r="B30" s="60"/>
      <c r="C30" s="60"/>
      <c r="D30" s="60"/>
      <c r="E30" s="60"/>
      <c r="F30" s="60"/>
      <c r="G30" s="60"/>
      <c r="H30" s="60"/>
      <c r="I30" s="60"/>
      <c r="J30" s="60"/>
      <c r="K30" s="13"/>
      <c r="L30" s="9" t="s">
        <v>115</v>
      </c>
      <c r="M30" s="8"/>
      <c r="N30" s="9" t="str">
        <f>"Coninuing Since  "&amp;$A$18</f>
        <v>Coninuing Since  New Fall 2022</v>
      </c>
      <c r="O30" s="8"/>
      <c r="P30" s="8"/>
      <c r="Q30" s="11" t="s">
        <v>116</v>
      </c>
      <c r="R30" s="13"/>
      <c r="S30" s="13"/>
      <c r="T30" s="13"/>
      <c r="U30" s="13"/>
      <c r="V30" s="13"/>
      <c r="W30" s="13"/>
      <c r="X30" s="13"/>
    </row>
    <row r="31" spans="1:24" x14ac:dyDescent="0.25">
      <c r="A31" s="11" t="str">
        <f>$A$17</f>
        <v>Semester</v>
      </c>
      <c r="B31" s="12" t="s">
        <v>71</v>
      </c>
      <c r="C31" s="12" t="s">
        <v>72</v>
      </c>
      <c r="D31" s="12" t="s">
        <v>82</v>
      </c>
      <c r="E31" s="12" t="s">
        <v>81</v>
      </c>
      <c r="F31" s="12" t="s">
        <v>73</v>
      </c>
      <c r="G31" s="12" t="s">
        <v>83</v>
      </c>
      <c r="H31" s="12" t="s">
        <v>84</v>
      </c>
      <c r="I31" s="12" t="s">
        <v>70</v>
      </c>
      <c r="J31" s="12" t="s">
        <v>74</v>
      </c>
      <c r="K31" s="12" t="s">
        <v>85</v>
      </c>
      <c r="L31" s="12" t="s">
        <v>89</v>
      </c>
      <c r="M31" s="12" t="s">
        <v>90</v>
      </c>
      <c r="N31" s="12" t="s">
        <v>89</v>
      </c>
      <c r="O31" s="12" t="s">
        <v>90</v>
      </c>
      <c r="P31" s="12" t="s">
        <v>89</v>
      </c>
      <c r="Q31" s="12" t="s">
        <v>90</v>
      </c>
      <c r="R31" s="13"/>
      <c r="S31" s="13"/>
      <c r="T31" s="13"/>
      <c r="U31" s="13"/>
      <c r="V31" s="13"/>
      <c r="W31" s="13"/>
      <c r="X31" s="13"/>
    </row>
    <row r="32" spans="1:24" x14ac:dyDescent="0.25">
      <c r="A32" s="11" t="str">
        <f>"New "&amp;$A$19</f>
        <v>New Spring 2022</v>
      </c>
      <c r="B32" s="92">
        <f>Enrollment!C4</f>
        <v>192</v>
      </c>
      <c r="C32" s="92">
        <f>Enrollment!C8</f>
        <v>48</v>
      </c>
      <c r="D32" s="4">
        <f>$D$4*B32</f>
        <v>19.200000000000003</v>
      </c>
      <c r="E32" s="4">
        <f>$E$4*C32</f>
        <v>7.1999999999999993</v>
      </c>
      <c r="F32" s="4">
        <f>D32+E32</f>
        <v>26.400000000000002</v>
      </c>
      <c r="G32" s="4">
        <v>0</v>
      </c>
      <c r="H32" s="4">
        <v>0</v>
      </c>
      <c r="I32" s="4">
        <f>$H$4*B32+$I$4*C32</f>
        <v>0</v>
      </c>
      <c r="J32" s="4">
        <f>I32</f>
        <v>0</v>
      </c>
      <c r="K32" s="32">
        <f>J32/(B32+C32)</f>
        <v>0</v>
      </c>
      <c r="L32" s="4">
        <f>L177</f>
        <v>1400.4331997360857</v>
      </c>
      <c r="M32" s="4">
        <f>M177</f>
        <v>2239.2814810415916</v>
      </c>
      <c r="N32" s="6">
        <f>B19</f>
        <v>348</v>
      </c>
      <c r="O32" s="6">
        <f>C19</f>
        <v>186</v>
      </c>
      <c r="P32" s="6">
        <f>L32+N32</f>
        <v>1748.4331997360857</v>
      </c>
      <c r="Q32" s="6">
        <f>M32+O32</f>
        <v>2425.2814810415916</v>
      </c>
      <c r="R32" s="13"/>
      <c r="S32" s="13"/>
      <c r="T32" s="13"/>
      <c r="U32" s="13"/>
      <c r="V32" s="13"/>
      <c r="W32" s="13"/>
      <c r="X32" s="13"/>
    </row>
    <row r="33" spans="1:24" x14ac:dyDescent="0.25">
      <c r="A33" s="11" t="str">
        <f>$A$20</f>
        <v>Fall 2023</v>
      </c>
      <c r="B33" s="4">
        <f>IF(B32-D32+G32-(B32*($B$4+$H$4))+(C32*($C$4))&lt;0,0,B32-D32+G32-(B32*($B$4+$H$4))+(C32*($C$4)))</f>
        <v>139.20000000000002</v>
      </c>
      <c r="C33" s="4">
        <f>IF(C32-E32+H32-(C32*($C$4+$I$4))+(B32*($B$4))&lt;0,0,C32-E32+H32-(C32*($C$4+$I$4))+(B32*($B$4)))</f>
        <v>74.400000000000006</v>
      </c>
      <c r="D33" s="4">
        <f>$D$5*B33</f>
        <v>13.920000000000002</v>
      </c>
      <c r="E33" s="4">
        <f>$E$5*C33</f>
        <v>11.16</v>
      </c>
      <c r="F33" s="4">
        <f>F32+D33+E33</f>
        <v>51.480000000000004</v>
      </c>
      <c r="G33" s="4">
        <f>$F$5*F32</f>
        <v>0.26400000000000001</v>
      </c>
      <c r="H33" s="4">
        <f>$G$5*F32</f>
        <v>0.52800000000000002</v>
      </c>
      <c r="I33" s="4">
        <f>$H$5*B33+$I$5*C33</f>
        <v>0</v>
      </c>
      <c r="J33" s="4">
        <f>J32+I33</f>
        <v>0</v>
      </c>
      <c r="K33" s="32">
        <f t="shared" ref="K33" si="19">J33/(B33+C33)</f>
        <v>0</v>
      </c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1:24" x14ac:dyDescent="0.25">
      <c r="A34" s="11" t="str">
        <f>$A$21</f>
        <v>Spring 2023</v>
      </c>
      <c r="B34" s="4">
        <f>IF(B33-D33+G33-(B33*($B$5+$H$5))+(C33*($C$5))&lt;0,0,B33-D33+G33-(B33*($B$5+$H$5))+(C33*($C$5)))</f>
        <v>103.75200000000001</v>
      </c>
      <c r="C34" s="4">
        <f>IF(C33-E33+H33-(C33*($C$5+$I$5))+(B33*($B$5))&lt;0,0,C33-E33+H33-(C33*($C$5+$I$5))+(B33*($B$5)))</f>
        <v>85.56</v>
      </c>
      <c r="D34" s="4">
        <f>$D$6*B34</f>
        <v>10.375200000000001</v>
      </c>
      <c r="E34" s="4">
        <f>$E$6*C34</f>
        <v>12.834</v>
      </c>
      <c r="F34" s="4">
        <f t="shared" ref="F34:F43" si="20">F33+D34+E34</f>
        <v>74.6892</v>
      </c>
      <c r="G34" s="4">
        <f>$F$6*F33</f>
        <v>1.0296000000000001</v>
      </c>
      <c r="H34" s="4">
        <f>$G$6*F33</f>
        <v>1.5444</v>
      </c>
      <c r="I34" s="4">
        <f>$H$6*B34+$I$6*C34</f>
        <v>0</v>
      </c>
      <c r="J34" s="4">
        <f t="shared" ref="J34:J43" si="21">J33+I34</f>
        <v>0</v>
      </c>
      <c r="K34" s="32">
        <f t="shared" ref="K34:K43" si="22">J34/(B34+C34)</f>
        <v>0</v>
      </c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spans="1:24" x14ac:dyDescent="0.25">
      <c r="A35" s="11" t="str">
        <f>$A$22</f>
        <v>Fall 2024</v>
      </c>
      <c r="B35" s="4">
        <f>IF(B34-D34+G34-(B34*($B$6+$H$6))+(C34*($C$6))&lt;0,0,B34-D34+G34-(B34*($B$6+$H$6))+(C34*($C$6)))</f>
        <v>80.136960000000002</v>
      </c>
      <c r="C35" s="4">
        <f>IF(C34-E34+H34-(C34*($C$6+$I$6))+(B34*($B$6))&lt;0,0,C34-E34+H34-(C34*($C$6+$I$6))+(B34*($B$6)))</f>
        <v>88.539839999999998</v>
      </c>
      <c r="D35" s="4">
        <f>$D$7*B35</f>
        <v>8.0136960000000013</v>
      </c>
      <c r="E35" s="4">
        <f>$E$7*C35</f>
        <v>13.280975999999999</v>
      </c>
      <c r="F35" s="4">
        <f t="shared" si="20"/>
        <v>95.983871999999991</v>
      </c>
      <c r="G35" s="4">
        <f>$F$7*F34</f>
        <v>2.2406760000000001</v>
      </c>
      <c r="H35" s="4">
        <f>$G$7*F34</f>
        <v>2.987568</v>
      </c>
      <c r="I35" s="4">
        <f>$H$7*B35+$I$7*C35</f>
        <v>0</v>
      </c>
      <c r="J35" s="4">
        <f t="shared" si="21"/>
        <v>0</v>
      </c>
      <c r="K35" s="32">
        <f t="shared" si="22"/>
        <v>0</v>
      </c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spans="1:24" x14ac:dyDescent="0.25">
      <c r="A36" s="11" t="str">
        <f>$A$23</f>
        <v>Spring 2024</v>
      </c>
      <c r="B36" s="4">
        <f>IF(B35-D35+G35-(B35*($B$7+$H$7))+(C35*($C$7))&lt;0,0,B35-D35+G35-(B35*($B$7+$H$7))+(C35*($C$7)))</f>
        <v>64.786423200000002</v>
      </c>
      <c r="C36" s="4">
        <f>IF(C35-E35+H35-(C35*($C$7+$I$7))+(B35*($B$7))&lt;0,0,C35-E35+H35-(C35*($C$7+$I$7))+(B35*($B$7)))</f>
        <v>87.823948800000011</v>
      </c>
      <c r="D36" s="4">
        <f>$D$8*B36</f>
        <v>6.4786423200000005</v>
      </c>
      <c r="E36" s="4">
        <f>$E$8*C36</f>
        <v>13.173592320000001</v>
      </c>
      <c r="F36" s="4">
        <f t="shared" si="20"/>
        <v>115.63610663999999</v>
      </c>
      <c r="G36" s="4">
        <f>$F$8*F35</f>
        <v>2.8795161599999997</v>
      </c>
      <c r="H36" s="4">
        <f>$G$8*F35</f>
        <v>4.7991935999999997</v>
      </c>
      <c r="I36" s="4">
        <f>$H$8*B36+$I$8*C36</f>
        <v>0</v>
      </c>
      <c r="J36" s="4">
        <f t="shared" si="21"/>
        <v>0</v>
      </c>
      <c r="K36" s="32">
        <f t="shared" si="22"/>
        <v>0</v>
      </c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1:24" x14ac:dyDescent="0.25">
      <c r="A37" s="11" t="str">
        <f>$A$24</f>
        <v>Fall 2025</v>
      </c>
      <c r="B37" s="4">
        <f>IF(B36-D36+G36-(B36*($B$8+$H$8))+(C36*($C$8))&lt;0,0,B36-D36+G36-(B36*($B$8+$H$8))+(C36*($C$8)))</f>
        <v>54.420950352000006</v>
      </c>
      <c r="C37" s="4">
        <f>IF(C36-E36+H36-(C36*($C$8+$I$8))+(B36*($B$8))&lt;0,0,C36-E36+H36-(C36*($C$8+$I$8))+(B36*($B$8)))</f>
        <v>86.215896768000007</v>
      </c>
      <c r="D37" s="4">
        <f>$D$9*B37</f>
        <v>5.4420950352000013</v>
      </c>
      <c r="E37" s="4">
        <f>$E$9*C37</f>
        <v>12.932384515200001</v>
      </c>
      <c r="F37" s="4">
        <f t="shared" si="20"/>
        <v>134.01058619040001</v>
      </c>
      <c r="G37" s="4">
        <f>$F$9*F36</f>
        <v>3.4690831991999995</v>
      </c>
      <c r="H37" s="4">
        <f>$G$9*F36</f>
        <v>5.7818053320000002</v>
      </c>
      <c r="I37" s="4">
        <f>$H$9*B37+$I$9*C37</f>
        <v>0</v>
      </c>
      <c r="J37" s="4">
        <f t="shared" si="21"/>
        <v>0</v>
      </c>
      <c r="K37" s="32">
        <f t="shared" si="22"/>
        <v>0</v>
      </c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  <row r="38" spans="1:24" x14ac:dyDescent="0.25">
      <c r="A38" s="11" t="str">
        <f>$A$25</f>
        <v>Spring 2025</v>
      </c>
      <c r="B38" s="4">
        <f>IF(B37-D37+G37-(B37*($B$9+$H$9))+(C37*($C$9))&lt;0,0,B37-D37+G37-(B37*($B$9+$H$9))+(C37*($C$9)))</f>
        <v>47.464290604800006</v>
      </c>
      <c r="C38" s="4">
        <f>IF(C37-E37+H37-(C37*($C$9+$I$9))+(B37*($B$9))&lt;0,0,C37-E37+H37-(C37*($C$9+$I$9))+(B37*($B$9)))</f>
        <v>84.048965496000022</v>
      </c>
      <c r="D38" s="4">
        <f>$D$10*B38</f>
        <v>4.7464290604800006</v>
      </c>
      <c r="E38" s="4">
        <f>$E$10*C38</f>
        <v>12.607344824400004</v>
      </c>
      <c r="F38" s="4">
        <f t="shared" si="20"/>
        <v>151.36436007528002</v>
      </c>
      <c r="G38" s="4">
        <f>$F$10*F37</f>
        <v>4.0203175857120002</v>
      </c>
      <c r="H38" s="4">
        <f>$G$10*F37</f>
        <v>6.7005293095200003</v>
      </c>
      <c r="I38" s="4">
        <f>$H$10*B38+$I$10*C38</f>
        <v>0.47464290604800008</v>
      </c>
      <c r="J38" s="4">
        <f t="shared" si="21"/>
        <v>0.47464290604800008</v>
      </c>
      <c r="K38" s="32">
        <f t="shared" si="22"/>
        <v>3.6090879362321009E-3</v>
      </c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</row>
    <row r="39" spans="1:24" x14ac:dyDescent="0.25">
      <c r="A39" s="11" t="str">
        <f>$A$26</f>
        <v>Fall 2026</v>
      </c>
      <c r="B39" s="4">
        <f>IF(B38-D38+G38-(B38*($B$10+$H$10))+(C38*($C$10))&lt;0,0,B38-D38+G38-(B38*($B$10+$H$10))+(C38*($C$10)))</f>
        <v>42.327717216336005</v>
      </c>
      <c r="C39" s="4">
        <f>IF(C38-E38+H38-(C38*($C$10+$I$10))+(B38*($B$10))&lt;0,0,C38-E38+H38-(C38*($C$10+$I$10))+(B38*($B$10)))</f>
        <v>82.077968988768021</v>
      </c>
      <c r="D39" s="4">
        <f>$D$11*B39</f>
        <v>4.2327717216336005</v>
      </c>
      <c r="E39" s="4">
        <f>$E$11*C39</f>
        <v>12.311695348315203</v>
      </c>
      <c r="F39" s="4">
        <f t="shared" si="20"/>
        <v>167.90882714522883</v>
      </c>
      <c r="G39" s="4">
        <f>$F$11*F38</f>
        <v>4.5409308022584005</v>
      </c>
      <c r="H39" s="4">
        <f>$G$11*F38</f>
        <v>7.5682180037640014</v>
      </c>
      <c r="I39" s="4">
        <f>$H$11*B39+$I$11*C39</f>
        <v>0.84655434432672017</v>
      </c>
      <c r="J39" s="4">
        <f t="shared" si="21"/>
        <v>1.3211972503747202</v>
      </c>
      <c r="K39" s="32">
        <f t="shared" si="22"/>
        <v>1.0620071241731676E-2</v>
      </c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</row>
    <row r="40" spans="1:24" x14ac:dyDescent="0.25">
      <c r="A40" s="11" t="str">
        <f>$A$27</f>
        <v>Spring 2026</v>
      </c>
      <c r="B40" s="4">
        <f>IF(B39-D39+G39-(B39*($B$11+$H$11))+(C39*($C$11))&lt;0,0,B39-D39+G39-(B39*($B$11+$H$11))+(C39*($C$11)))</f>
        <v>38.568635203100158</v>
      </c>
      <c r="C40" s="4">
        <f>IF(C39-E39+H39-(C39*($C$11+$I$11))+(B39*($B$11))&lt;0,0,C39-E39+H39-(C39*($C$11+$I$11))+(B39*($B$11)))</f>
        <v>80.555178393750737</v>
      </c>
      <c r="D40" s="4">
        <f>$D$12*B40</f>
        <v>3.8568635203100161</v>
      </c>
      <c r="E40" s="4">
        <f>$E$12*C40</f>
        <v>12.08327675906261</v>
      </c>
      <c r="F40" s="4">
        <f t="shared" si="20"/>
        <v>183.84896742460145</v>
      </c>
      <c r="G40" s="4">
        <f>$F$12*F39</f>
        <v>5.037264814356865</v>
      </c>
      <c r="H40" s="4">
        <f>$G$12*F39</f>
        <v>8.3954413572614417</v>
      </c>
      <c r="I40" s="4">
        <f>$H$12*B40+$I$12*C40</f>
        <v>5.7852952804650233</v>
      </c>
      <c r="J40" s="4">
        <f t="shared" si="21"/>
        <v>7.1064925308397431</v>
      </c>
      <c r="K40" s="32">
        <f t="shared" si="22"/>
        <v>5.9656355150701848E-2</v>
      </c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</row>
    <row r="41" spans="1:24" x14ac:dyDescent="0.25">
      <c r="A41" s="11" t="str">
        <f>$A$28</f>
        <v>Fall 2027</v>
      </c>
      <c r="B41" s="4">
        <f>IF(B40-D40+G40-(B40*($B$12+$H$12))+(C40*($C$12))&lt;0,0,B40-D40+G40-(B40*($B$12+$H$12))+(C40*($C$12)))</f>
        <v>31.220041199189016</v>
      </c>
      <c r="C41" s="4">
        <f>IF(C40-E40+H40-(C40*($C$12+$I$12))+(B40*($B$12))&lt;0,0,C40-E40+H40-(C40*($C$12+$I$12))+(B40*($B$12)))</f>
        <v>79.61104300944254</v>
      </c>
      <c r="D41" s="4">
        <f>$D$13*B41</f>
        <v>3.1220041199189019</v>
      </c>
      <c r="E41" s="4">
        <f>$E$13*C41</f>
        <v>11.94165645141638</v>
      </c>
      <c r="F41" s="4">
        <f t="shared" si="20"/>
        <v>198.91262799593673</v>
      </c>
      <c r="G41" s="4">
        <f>$F$13*F40</f>
        <v>5.5154690227380438</v>
      </c>
      <c r="H41" s="4">
        <f>$G$13*F40</f>
        <v>9.1924483712300731</v>
      </c>
      <c r="I41" s="4">
        <f>$H$13*B41+$I$13*C41</f>
        <v>4.683006179878352</v>
      </c>
      <c r="J41" s="4">
        <f t="shared" si="21"/>
        <v>11.789498710718096</v>
      </c>
      <c r="K41" s="32">
        <f t="shared" si="22"/>
        <v>0.10637357556229633</v>
      </c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</row>
    <row r="42" spans="1:24" x14ac:dyDescent="0.25">
      <c r="A42" s="11" t="str">
        <f>$A$29</f>
        <v>Spring 2027</v>
      </c>
      <c r="B42" s="4">
        <f>IF(B41-D41+G41-(B41*($B$13+$H$13))+(C41*($C$13))&lt;0,0,B41-D41+G41-(B41*($B$13+$H$13))+(C41*($C$13)))</f>
        <v>27.837792275309248</v>
      </c>
      <c r="C42" s="4">
        <f>IF(C41-E41+H41-(C41*($C$13+$I$13))+(B41*($B$13))&lt;0,0,C41-E41+H41-(C41*($C$13+$I$13))+(B41*($B$13)))</f>
        <v>77.95454257607679</v>
      </c>
      <c r="D42" s="4">
        <f>$D$14*B42</f>
        <v>2.7837792275309248</v>
      </c>
      <c r="E42" s="4">
        <f>$E$14*C42</f>
        <v>11.693181386411519</v>
      </c>
      <c r="F42" s="4">
        <f t="shared" si="20"/>
        <v>213.38958860987916</v>
      </c>
      <c r="G42" s="4">
        <f>$F$14*F41</f>
        <v>5.9673788398781014</v>
      </c>
      <c r="H42" s="4">
        <f>$G$14*F41</f>
        <v>9.945631399796838</v>
      </c>
      <c r="I42" s="4">
        <f>$H$14*B42+$I$14*C42</f>
        <v>6.5143051185786902</v>
      </c>
      <c r="J42" s="4">
        <f t="shared" si="21"/>
        <v>18.303803829296786</v>
      </c>
      <c r="K42" s="32">
        <f t="shared" si="22"/>
        <v>0.17301635184637365</v>
      </c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</row>
    <row r="43" spans="1:24" x14ac:dyDescent="0.25">
      <c r="A43" s="99"/>
      <c r="B43" s="4">
        <f>IF(B42-D42+G42-(B42*($B$13+$H$13))+(C42*($C$13))&lt;0,0,B42-D42+G42-(B42*($B$13+$H$13))+(C42*($C$13)))</f>
        <v>26.568217544128039</v>
      </c>
      <c r="C43" s="4">
        <f>IF(C42-E42+H42-(C42*($C$14+$I$14))+(B42*($B$14))&lt;0,0,C42-E42+H42-(C42*($C$14+$I$14))+(B42*($B$14)))</f>
        <v>74.424239737164896</v>
      </c>
      <c r="D43" s="4">
        <f>$D$15*B43</f>
        <v>2.6568217544128041</v>
      </c>
      <c r="E43" s="4">
        <f>$E$15*C43</f>
        <v>11.163635960574734</v>
      </c>
      <c r="F43" s="4">
        <f t="shared" si="20"/>
        <v>227.21004632486671</v>
      </c>
      <c r="G43" s="4">
        <f>$F$15*F42</f>
        <v>6.4016876582963747</v>
      </c>
      <c r="H43" s="4">
        <f>$G$15*F42</f>
        <v>10.669479430493958</v>
      </c>
      <c r="I43" s="4">
        <f>$H$15*B43+$I$15*C43</f>
        <v>6.9622022211058017</v>
      </c>
      <c r="J43" s="4">
        <f t="shared" si="21"/>
        <v>25.266006050402588</v>
      </c>
      <c r="K43" s="32">
        <f t="shared" si="22"/>
        <v>0.25017715907267729</v>
      </c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</row>
    <row r="44" spans="1:24" x14ac:dyDescent="0.25">
      <c r="A44" s="8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9" t="s">
        <v>115</v>
      </c>
      <c r="M44" s="8"/>
      <c r="N44" s="9" t="str">
        <f>"Coninuing Since  "&amp;$A$18</f>
        <v>Coninuing Since  New Fall 2022</v>
      </c>
      <c r="O44" s="8"/>
      <c r="P44" s="8"/>
      <c r="Q44" s="11" t="s">
        <v>116</v>
      </c>
      <c r="R44" s="13"/>
      <c r="S44" s="13"/>
      <c r="T44" s="13"/>
      <c r="U44" s="13"/>
      <c r="V44" s="13"/>
      <c r="W44" s="13"/>
      <c r="X44" s="13"/>
    </row>
    <row r="45" spans="1:24" x14ac:dyDescent="0.25">
      <c r="A45" s="11" t="str">
        <f>$A$17</f>
        <v>Semester</v>
      </c>
      <c r="B45" s="12" t="s">
        <v>71</v>
      </c>
      <c r="C45" s="12" t="s">
        <v>72</v>
      </c>
      <c r="D45" s="12" t="s">
        <v>82</v>
      </c>
      <c r="E45" s="12" t="s">
        <v>81</v>
      </c>
      <c r="F45" s="12" t="s">
        <v>73</v>
      </c>
      <c r="G45" s="12" t="s">
        <v>83</v>
      </c>
      <c r="H45" s="12" t="s">
        <v>84</v>
      </c>
      <c r="I45" s="12" t="s">
        <v>70</v>
      </c>
      <c r="J45" s="12" t="s">
        <v>74</v>
      </c>
      <c r="K45" s="12" t="s">
        <v>85</v>
      </c>
      <c r="L45" s="12" t="s">
        <v>89</v>
      </c>
      <c r="M45" s="12" t="s">
        <v>90</v>
      </c>
      <c r="N45" s="12" t="s">
        <v>89</v>
      </c>
      <c r="O45" s="12" t="s">
        <v>90</v>
      </c>
      <c r="P45" s="12" t="s">
        <v>89</v>
      </c>
      <c r="Q45" s="12" t="s">
        <v>90</v>
      </c>
      <c r="R45" s="13"/>
      <c r="S45" s="13"/>
      <c r="T45" s="13"/>
      <c r="U45" s="13"/>
      <c r="V45" s="13"/>
      <c r="W45" s="13"/>
      <c r="X45" s="13"/>
    </row>
    <row r="46" spans="1:24" x14ac:dyDescent="0.25">
      <c r="A46" s="11" t="str">
        <f>"New "&amp;$A$20</f>
        <v>New Fall 2023</v>
      </c>
      <c r="B46" s="92">
        <f>Enrollment!D3</f>
        <v>465.59999999999997</v>
      </c>
      <c r="C46" s="92">
        <f>Enrollment!D7</f>
        <v>116.39999999999999</v>
      </c>
      <c r="D46" s="4">
        <f>$D$4*B46</f>
        <v>46.56</v>
      </c>
      <c r="E46" s="4">
        <f>$E$4*C46</f>
        <v>17.459999999999997</v>
      </c>
      <c r="F46" s="4">
        <f>D46+E46</f>
        <v>64.02</v>
      </c>
      <c r="G46" s="4">
        <v>0</v>
      </c>
      <c r="H46" s="4">
        <v>0</v>
      </c>
      <c r="I46" s="4">
        <f>$H$4*B46+$I$4*C46</f>
        <v>0</v>
      </c>
      <c r="J46" s="4">
        <f>I46</f>
        <v>0</v>
      </c>
      <c r="K46" s="32">
        <f>J46/(B46+C46)</f>
        <v>0</v>
      </c>
      <c r="L46" s="4">
        <f>L178</f>
        <v>1119.4381997360858</v>
      </c>
      <c r="M46" s="4">
        <f>M178</f>
        <v>2007.556481041591</v>
      </c>
      <c r="N46" s="6">
        <f>B33+B20</f>
        <v>398.58000000000004</v>
      </c>
      <c r="O46" s="6">
        <f>C33+C20</f>
        <v>288.29999999999995</v>
      </c>
      <c r="P46" s="6">
        <f>L46+N46</f>
        <v>1518.018199736086</v>
      </c>
      <c r="Q46" s="6">
        <f>M46+O46</f>
        <v>2295.856481041591</v>
      </c>
      <c r="R46" s="13"/>
      <c r="S46" s="13"/>
      <c r="T46" s="13"/>
      <c r="U46" s="13"/>
      <c r="V46" s="13"/>
      <c r="W46" s="13"/>
      <c r="X46" s="13"/>
    </row>
    <row r="47" spans="1:24" x14ac:dyDescent="0.25">
      <c r="A47" s="11" t="str">
        <f>$A$21</f>
        <v>Spring 2023</v>
      </c>
      <c r="B47" s="4">
        <f>IF(B46-D46+G46-(B46*($B$4+$H$4))+(C46*($C$4))&lt;0,0,B46-D46+G46-(B46*($B$4+$H$4))+(C46*($C$4)))</f>
        <v>337.55999999999995</v>
      </c>
      <c r="C47" s="4">
        <f>IF(C46-E46+H46-(C46*($C$4+$I$4))+(B46*($B$4))&lt;0,0,C46-E46+H46-(C46*($C$4+$I$4))+(B46*($B$4)))</f>
        <v>180.42000000000002</v>
      </c>
      <c r="D47" s="4">
        <f>$D$5*B47</f>
        <v>33.755999999999993</v>
      </c>
      <c r="E47" s="4">
        <f>$E$5*C47</f>
        <v>27.063000000000002</v>
      </c>
      <c r="F47" s="4">
        <f>F46+D47+E47</f>
        <v>124.83899999999998</v>
      </c>
      <c r="G47" s="4">
        <f>$F$5*F46</f>
        <v>0.64019999999999999</v>
      </c>
      <c r="H47" s="4">
        <f>$G$5*F46</f>
        <v>1.2804</v>
      </c>
      <c r="I47" s="4">
        <f>$H$5*B47+$I$5*C47</f>
        <v>0</v>
      </c>
      <c r="J47" s="4">
        <f>J46+I47</f>
        <v>0</v>
      </c>
      <c r="K47" s="32">
        <f t="shared" ref="K47:K57" si="23">J47/(B47+C47)</f>
        <v>0</v>
      </c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</row>
    <row r="48" spans="1:24" x14ac:dyDescent="0.25">
      <c r="A48" s="11" t="str">
        <f>$A$22</f>
        <v>Fall 2024</v>
      </c>
      <c r="B48" s="4">
        <f>IF(B47-D47+G47-(B47*($B$5+$H$5))+(C47*($C$5))&lt;0,0,B47-D47+G47-(B47*($B$5+$H$5))+(C47*($C$5)))</f>
        <v>251.59859999999998</v>
      </c>
      <c r="C48" s="4">
        <f>IF(C47-E47+H47-(C47*($C$5+$I$5))+(B47*($B$5))&lt;0,0,C47-E47+H47-(C47*($C$5+$I$5))+(B47*($B$5)))</f>
        <v>207.483</v>
      </c>
      <c r="D48" s="4">
        <f>$D$6*B48</f>
        <v>25.159859999999998</v>
      </c>
      <c r="E48" s="4">
        <f>$E$6*C48</f>
        <v>31.122450000000001</v>
      </c>
      <c r="F48" s="4">
        <f t="shared" ref="F48:F57" si="24">F47+D48+E48</f>
        <v>181.12130999999999</v>
      </c>
      <c r="G48" s="4">
        <f>$F$6*F47</f>
        <v>2.4967799999999998</v>
      </c>
      <c r="H48" s="4">
        <f>$G$6*F47</f>
        <v>3.7451699999999994</v>
      </c>
      <c r="I48" s="4">
        <f>$H$6*B48+$I$6*C48</f>
        <v>0</v>
      </c>
      <c r="J48" s="4">
        <f t="shared" ref="J48:J57" si="25">J47+I48</f>
        <v>0</v>
      </c>
      <c r="K48" s="32">
        <f t="shared" si="23"/>
        <v>0</v>
      </c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</row>
    <row r="49" spans="1:24" x14ac:dyDescent="0.25">
      <c r="A49" s="11" t="str">
        <f>$A$23</f>
        <v>Spring 2024</v>
      </c>
      <c r="B49" s="4">
        <f>IF(B48-D48+G48-(B48*($B$6+$H$6))+(C48*($C$6))&lt;0,0,B48-D48+G48-(B48*($B$6+$H$6))+(C48*($C$6)))</f>
        <v>194.33212799999998</v>
      </c>
      <c r="C49" s="4">
        <f>IF(C48-E48+H48-(C48*($C$6+$I$6))+(B48*($B$6))&lt;0,0,C48-E48+H48-(C48*($C$6+$I$6))+(B48*($B$6)))</f>
        <v>214.70911199999998</v>
      </c>
      <c r="D49" s="4">
        <f>$D$7*B49</f>
        <v>19.4332128</v>
      </c>
      <c r="E49" s="4">
        <f>$E$7*C49</f>
        <v>32.206366799999998</v>
      </c>
      <c r="F49" s="4">
        <f t="shared" si="24"/>
        <v>232.76088959999998</v>
      </c>
      <c r="G49" s="4">
        <f>$F$7*F48</f>
        <v>5.4336392999999994</v>
      </c>
      <c r="H49" s="4">
        <f>$G$7*F48</f>
        <v>7.2448524000000001</v>
      </c>
      <c r="I49" s="4">
        <f>$H$7*B49+$I$7*C49</f>
        <v>0</v>
      </c>
      <c r="J49" s="4">
        <f t="shared" si="25"/>
        <v>0</v>
      </c>
      <c r="K49" s="32">
        <f t="shared" si="23"/>
        <v>0</v>
      </c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</row>
    <row r="50" spans="1:24" x14ac:dyDescent="0.25">
      <c r="A50" s="11" t="str">
        <f>$A$24</f>
        <v>Fall 2025</v>
      </c>
      <c r="B50" s="4">
        <f>IF(B49-D49+G49-(B49*($B$7+$H$7))+(C49*($C$7))&lt;0,0,B49-D49+G49-(B49*($B$7+$H$7))+(C49*($C$7)))</f>
        <v>157.10707625999999</v>
      </c>
      <c r="C50" s="4">
        <f>IF(C49-E49+H49-(C49*($C$7+$I$7))+(B49*($B$7))&lt;0,0,C49-E49+H49-(C49*($C$7+$I$7))+(B49*($B$7)))</f>
        <v>212.97307584000001</v>
      </c>
      <c r="D50" s="4">
        <f>$D$8*B50</f>
        <v>15.710707626</v>
      </c>
      <c r="E50" s="4">
        <f>$E$8*C50</f>
        <v>31.945961376</v>
      </c>
      <c r="F50" s="4">
        <f t="shared" si="24"/>
        <v>280.41755860199999</v>
      </c>
      <c r="G50" s="4">
        <f>$F$8*F49</f>
        <v>6.9828266879999994</v>
      </c>
      <c r="H50" s="4">
        <f>$G$8*F49</f>
        <v>11.63804448</v>
      </c>
      <c r="I50" s="4">
        <f>$H$8*B50+$I$8*C50</f>
        <v>0</v>
      </c>
      <c r="J50" s="4">
        <f t="shared" si="25"/>
        <v>0</v>
      </c>
      <c r="K50" s="32">
        <f t="shared" si="23"/>
        <v>0</v>
      </c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</row>
    <row r="51" spans="1:24" x14ac:dyDescent="0.25">
      <c r="A51" s="11" t="str">
        <f>$A$25</f>
        <v>Spring 2025</v>
      </c>
      <c r="B51" s="4">
        <f>IF(B50-D50+G50-(B50*($B$8+$H$8))+(C50*($C$8))&lt;0,0,B50-D50+G50-(B50*($B$8+$H$8))+(C50*($C$8)))</f>
        <v>131.97080460359999</v>
      </c>
      <c r="C51" s="4">
        <f>IF(C50-E50+H50-(C50*($C$8+$I$8))+(B50*($B$8))&lt;0,0,C50-E50+H50-(C50*($C$8+$I$8))+(B50*($B$8)))</f>
        <v>209.07354966240001</v>
      </c>
      <c r="D51" s="4">
        <f>$D$9*B51</f>
        <v>13.197080460359999</v>
      </c>
      <c r="E51" s="4">
        <f>$E$9*C51</f>
        <v>31.36103244936</v>
      </c>
      <c r="F51" s="4">
        <f t="shared" si="24"/>
        <v>324.97567151171995</v>
      </c>
      <c r="G51" s="4">
        <f>$F$9*F50</f>
        <v>8.4125267580599985</v>
      </c>
      <c r="H51" s="4">
        <f>$G$9*F50</f>
        <v>14.020877930099999</v>
      </c>
      <c r="I51" s="4">
        <f>$H$9*B51+$I$9*C51</f>
        <v>0</v>
      </c>
      <c r="J51" s="4">
        <f t="shared" si="25"/>
        <v>0</v>
      </c>
      <c r="K51" s="32">
        <f t="shared" si="23"/>
        <v>0</v>
      </c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</row>
    <row r="52" spans="1:24" x14ac:dyDescent="0.25">
      <c r="A52" s="11" t="str">
        <f>$A$26</f>
        <v>Fall 2026</v>
      </c>
      <c r="B52" s="4">
        <f>IF(B51-D51+G51-(B51*($B$9+$H$9))+(C51*($C$9))&lt;0,0,B51-D51+G51-(B51*($B$9+$H$9))+(C51*($C$9)))</f>
        <v>115.10090471664</v>
      </c>
      <c r="C52" s="4">
        <f>IF(C51-E51+H51-(C51*($C$9+$I$9))+(B51*($B$9))&lt;0,0,C51-E51+H51-(C51*($C$9+$I$9))+(B51*($B$9)))</f>
        <v>203.81874132779998</v>
      </c>
      <c r="D52" s="4">
        <f>$D$10*B52</f>
        <v>11.510090471664</v>
      </c>
      <c r="E52" s="4">
        <f>$E$10*C52</f>
        <v>30.572811199169998</v>
      </c>
      <c r="F52" s="4">
        <f t="shared" si="24"/>
        <v>367.05857318255397</v>
      </c>
      <c r="G52" s="4">
        <f>$F$10*F51</f>
        <v>9.7492701453515984</v>
      </c>
      <c r="H52" s="4">
        <f>$G$10*F51</f>
        <v>16.248783575586</v>
      </c>
      <c r="I52" s="4">
        <f>$H$10*B52+$I$10*C52</f>
        <v>1.1510090471664001</v>
      </c>
      <c r="J52" s="4">
        <f t="shared" si="25"/>
        <v>1.1510090471664001</v>
      </c>
      <c r="K52" s="32">
        <f t="shared" si="23"/>
        <v>3.6090879362321009E-3</v>
      </c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</row>
    <row r="53" spans="1:24" x14ac:dyDescent="0.25">
      <c r="A53" s="11" t="str">
        <f>$A$27</f>
        <v>Spring 2026</v>
      </c>
      <c r="B53" s="4">
        <f>IF(B52-D52+G52-(B52*($B$10+$H$10))+(C52*($C$10))&lt;0,0,B52-D52+G52-(B52*($B$10+$H$10))+(C52*($C$10)))</f>
        <v>102.64471424961481</v>
      </c>
      <c r="C53" s="4">
        <f>IF(C52-E52+H52-(C52*($C$10+$I$10))+(B52*($B$10))&lt;0,0,C52-E52+H52-(C52*($C$10+$I$10))+(B52*($B$10)))</f>
        <v>199.0390747977624</v>
      </c>
      <c r="D53" s="4">
        <f>$D$11*B53</f>
        <v>10.264471424961481</v>
      </c>
      <c r="E53" s="4">
        <f>$E$11*C53</f>
        <v>29.855861219664359</v>
      </c>
      <c r="F53" s="4">
        <f t="shared" si="24"/>
        <v>407.17890582717979</v>
      </c>
      <c r="G53" s="4">
        <f>$F$11*F52</f>
        <v>11.011757195476619</v>
      </c>
      <c r="H53" s="4">
        <f>$G$11*F52</f>
        <v>18.352928659127699</v>
      </c>
      <c r="I53" s="4">
        <f>$H$11*B53+$I$11*C53</f>
        <v>2.0528942849922962</v>
      </c>
      <c r="J53" s="4">
        <f t="shared" si="25"/>
        <v>3.2039033321586965</v>
      </c>
      <c r="K53" s="32">
        <f t="shared" si="23"/>
        <v>1.0620071241731676E-2</v>
      </c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</row>
    <row r="54" spans="1:24" x14ac:dyDescent="0.25">
      <c r="A54" s="11" t="str">
        <f>$A$28</f>
        <v>Fall 2027</v>
      </c>
      <c r="B54" s="4">
        <f>IF(B53-D53+G53-(B53*($B$11+$H$11))+(C53*($C$11))&lt;0,0,B53-D53+G53-(B53*($B$11+$H$11))+(C53*($C$11)))</f>
        <v>93.528940367517876</v>
      </c>
      <c r="C54" s="4">
        <f>IF(C53-E53+H53-(C53*($C$11+$I$11))+(B53*($B$11))&lt;0,0,C53-E53+H53-(C53*($C$11+$I$11))+(B53*($B$11)))</f>
        <v>195.34630760484552</v>
      </c>
      <c r="D54" s="4">
        <f>$D$12*B54</f>
        <v>9.3528940367517883</v>
      </c>
      <c r="E54" s="4">
        <f>$E$12*C54</f>
        <v>29.301946140726827</v>
      </c>
      <c r="F54" s="4">
        <f t="shared" si="24"/>
        <v>445.83374600465839</v>
      </c>
      <c r="G54" s="4">
        <f>$F$12*F53</f>
        <v>12.215367174815393</v>
      </c>
      <c r="H54" s="4">
        <f>$G$12*F53</f>
        <v>20.358945291358992</v>
      </c>
      <c r="I54" s="4">
        <f>$H$12*B54+$I$12*C54</f>
        <v>14.029341055127681</v>
      </c>
      <c r="J54" s="4">
        <f t="shared" si="25"/>
        <v>17.233244387286376</v>
      </c>
      <c r="K54" s="32">
        <f t="shared" si="23"/>
        <v>5.9656355150701848E-2</v>
      </c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</row>
    <row r="55" spans="1:24" x14ac:dyDescent="0.25">
      <c r="A55" s="11" t="str">
        <f>$A$29</f>
        <v>Spring 2027</v>
      </c>
      <c r="B55" s="4">
        <f>IF(B54-D54+G54-(B54*($B$12+$H$12))+(C54*($C$12))&lt;0,0,B54-D54+G54-(B54*($B$12+$H$12))+(C54*($C$12)))</f>
        <v>75.708599908033335</v>
      </c>
      <c r="C55" s="4">
        <f>IF(C54-E54+H54-(C54*($C$12+$I$12))+(B54*($B$12))&lt;0,0,C54-E54+H54-(C54*($C$12+$I$12))+(B54*($B$12)))</f>
        <v>193.05677929789815</v>
      </c>
      <c r="D55" s="4">
        <f>$D$13*B55</f>
        <v>7.570859990803334</v>
      </c>
      <c r="E55" s="4">
        <f>$E$13*C55</f>
        <v>28.95851689468472</v>
      </c>
      <c r="F55" s="4">
        <f t="shared" si="24"/>
        <v>482.36312289014643</v>
      </c>
      <c r="G55" s="4">
        <f>$F$13*F54</f>
        <v>13.375012380139751</v>
      </c>
      <c r="H55" s="4">
        <f>$G$13*F54</f>
        <v>22.291687300232923</v>
      </c>
      <c r="I55" s="4">
        <f>$H$13*B55+$I$13*C55</f>
        <v>11.356289986205001</v>
      </c>
      <c r="J55" s="4">
        <f t="shared" si="25"/>
        <v>28.589534373491375</v>
      </c>
      <c r="K55" s="32">
        <f t="shared" si="23"/>
        <v>0.10637357556229632</v>
      </c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</row>
    <row r="56" spans="1:24" x14ac:dyDescent="0.25">
      <c r="A56" s="99"/>
      <c r="B56" s="4">
        <f>IF(B55-D55+G55-(B55*($B$13+$H$13))+(C55*($C$13))&lt;0,0,B55-D55+G55-(B55*($B$13+$H$13))+(C55*($C$13)))</f>
        <v>67.506646267624916</v>
      </c>
      <c r="C56" s="4">
        <f>IF(C55-E55+H55-(C55*($C$13+$I$13))+(B55*($B$13))&lt;0,0,C55-E55+H55-(C55*($C$13+$I$13))+(B55*($B$13)))</f>
        <v>189.03976574698618</v>
      </c>
      <c r="D56" s="4">
        <f>$D$14*B56</f>
        <v>6.7506646267624921</v>
      </c>
      <c r="E56" s="4">
        <f>$E$14*C56</f>
        <v>28.355964862047927</v>
      </c>
      <c r="F56" s="4">
        <f t="shared" si="24"/>
        <v>517.46975237895685</v>
      </c>
      <c r="G56" s="4">
        <f>$F$14*F55</f>
        <v>14.470893686704393</v>
      </c>
      <c r="H56" s="4">
        <f>$G$14*F55</f>
        <v>24.118156144507324</v>
      </c>
      <c r="I56" s="4">
        <f>$H$14*B56+$I$14*C56</f>
        <v>15.797189912553323</v>
      </c>
      <c r="J56" s="4">
        <f t="shared" si="25"/>
        <v>44.386724286044696</v>
      </c>
      <c r="K56" s="32">
        <f t="shared" si="23"/>
        <v>0.17301635184637368</v>
      </c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</row>
    <row r="57" spans="1:24" x14ac:dyDescent="0.25">
      <c r="A57" s="99"/>
      <c r="B57" s="4">
        <f>IF(B56-D56+G56-(B56*($B$13+$H$13))+(C56*($C$13))&lt;0,0,B56-D56+G56-(B56*($B$13+$H$13))+(C56*($C$13)))</f>
        <v>64.427927544510482</v>
      </c>
      <c r="C57" s="4">
        <f>IF(C56-E56+H56-(C56*($C$14+$I$14))+(B56*($B$14))&lt;0,0,C56-E56+H56-(C56*($C$14+$I$14))+(B56*($B$14)))</f>
        <v>180.47878136262486</v>
      </c>
      <c r="D57" s="4">
        <f>$D$15*B57</f>
        <v>6.4427927544510482</v>
      </c>
      <c r="E57" s="4">
        <f>$E$15*C57</f>
        <v>27.071817204393728</v>
      </c>
      <c r="F57" s="4">
        <f t="shared" si="24"/>
        <v>550.9843623378016</v>
      </c>
      <c r="G57" s="4">
        <f>$F$15*F56</f>
        <v>15.524092571368705</v>
      </c>
      <c r="H57" s="4">
        <f>$G$15*F56</f>
        <v>25.873487618947845</v>
      </c>
      <c r="I57" s="4">
        <f>$H$15*B57+$I$15*C57</f>
        <v>16.883340386181565</v>
      </c>
      <c r="J57" s="4">
        <f t="shared" si="25"/>
        <v>61.270064672226262</v>
      </c>
      <c r="K57" s="32">
        <f t="shared" si="23"/>
        <v>0.25017715907267724</v>
      </c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</row>
    <row r="58" spans="1:24" x14ac:dyDescent="0.25">
      <c r="A58" s="8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9" t="s">
        <v>115</v>
      </c>
      <c r="M58" s="8"/>
      <c r="N58" s="9" t="str">
        <f>"Coninuing Since  "&amp;$A$18</f>
        <v>Coninuing Since  New Fall 2022</v>
      </c>
      <c r="O58" s="8"/>
      <c r="P58" s="8"/>
      <c r="Q58" s="11" t="s">
        <v>116</v>
      </c>
      <c r="R58" s="13"/>
      <c r="S58" s="13"/>
      <c r="T58" s="13"/>
      <c r="U58" s="13"/>
      <c r="V58" s="13"/>
      <c r="W58" s="13"/>
      <c r="X58" s="13"/>
    </row>
    <row r="59" spans="1:24" x14ac:dyDescent="0.25">
      <c r="A59" s="11" t="str">
        <f>$A$17</f>
        <v>Semester</v>
      </c>
      <c r="B59" s="12" t="s">
        <v>71</v>
      </c>
      <c r="C59" s="12" t="s">
        <v>72</v>
      </c>
      <c r="D59" s="12" t="s">
        <v>82</v>
      </c>
      <c r="E59" s="12" t="s">
        <v>81</v>
      </c>
      <c r="F59" s="12" t="s">
        <v>73</v>
      </c>
      <c r="G59" s="12" t="s">
        <v>83</v>
      </c>
      <c r="H59" s="12" t="s">
        <v>84</v>
      </c>
      <c r="I59" s="12" t="s">
        <v>70</v>
      </c>
      <c r="J59" s="12" t="s">
        <v>74</v>
      </c>
      <c r="K59" s="12" t="s">
        <v>85</v>
      </c>
      <c r="L59" s="12" t="s">
        <v>89</v>
      </c>
      <c r="M59" s="12" t="s">
        <v>90</v>
      </c>
      <c r="N59" s="12" t="s">
        <v>89</v>
      </c>
      <c r="O59" s="12" t="s">
        <v>90</v>
      </c>
      <c r="P59" s="12" t="s">
        <v>89</v>
      </c>
      <c r="Q59" s="12" t="s">
        <v>90</v>
      </c>
      <c r="R59" s="13"/>
      <c r="S59" s="13"/>
      <c r="T59" s="13"/>
      <c r="U59" s="13"/>
      <c r="V59" s="13"/>
      <c r="W59" s="13"/>
      <c r="X59" s="13"/>
    </row>
    <row r="60" spans="1:24" x14ac:dyDescent="0.25">
      <c r="A60" s="11" t="str">
        <f>"New "&amp;$A$21</f>
        <v>New Spring 2023</v>
      </c>
      <c r="B60" s="92">
        <f>Enrollment!D4</f>
        <v>186.24</v>
      </c>
      <c r="C60" s="92">
        <f>Enrollment!D8</f>
        <v>46.56</v>
      </c>
      <c r="D60" s="4">
        <f>$D$4*B60</f>
        <v>18.624000000000002</v>
      </c>
      <c r="E60" s="4">
        <f>$E$4*C60</f>
        <v>6.984</v>
      </c>
      <c r="F60" s="4">
        <f>D60+E60</f>
        <v>25.608000000000004</v>
      </c>
      <c r="G60" s="4">
        <v>0</v>
      </c>
      <c r="H60" s="4">
        <v>0</v>
      </c>
      <c r="I60" s="4">
        <f>$H$4*B60+$I$4*C60</f>
        <v>0</v>
      </c>
      <c r="J60" s="4">
        <f>I60</f>
        <v>0</v>
      </c>
      <c r="K60" s="32">
        <f>J60/(B60+C60)</f>
        <v>0</v>
      </c>
      <c r="L60" s="4">
        <f>L179</f>
        <v>902.40059973608572</v>
      </c>
      <c r="M60" s="4">
        <f>M179</f>
        <v>1767.7610810415913</v>
      </c>
      <c r="N60" s="6">
        <f>B47+B34+B21</f>
        <v>641.65440000000001</v>
      </c>
      <c r="O60" s="6">
        <f>C47+C34+C21</f>
        <v>487.32960000000003</v>
      </c>
      <c r="P60" s="6">
        <f>L60+N60</f>
        <v>1544.0549997360858</v>
      </c>
      <c r="Q60" s="6">
        <f>M60+O60</f>
        <v>2255.0906810415913</v>
      </c>
      <c r="R60" s="13"/>
      <c r="S60" s="13"/>
      <c r="T60" s="13"/>
      <c r="U60" s="13"/>
      <c r="V60" s="13"/>
      <c r="W60" s="13"/>
      <c r="X60" s="13"/>
    </row>
    <row r="61" spans="1:24" x14ac:dyDescent="0.25">
      <c r="A61" s="11" t="str">
        <f>$A$22</f>
        <v>Fall 2024</v>
      </c>
      <c r="B61" s="4">
        <f>IF(B60-D60+G60-(B60*($B$4+$H$4))+(C60*($C$4))&lt;0,0,B60-D60+G60-(B60*($B$4+$H$4))+(C60*($C$4)))</f>
        <v>135.024</v>
      </c>
      <c r="C61" s="4">
        <f>IF(C60-E60+H60-(C60*($C$4+$I$4))+(B60*($B$4))&lt;0,0,C60-E60+H60-(C60*($C$4+$I$4))+(B60*($B$4)))</f>
        <v>72.168000000000006</v>
      </c>
      <c r="D61" s="4">
        <f>$D$5*B61</f>
        <v>13.502400000000002</v>
      </c>
      <c r="E61" s="4">
        <f>$E$5*C61</f>
        <v>10.825200000000001</v>
      </c>
      <c r="F61" s="4">
        <f>F60+D61+E61</f>
        <v>49.935600000000008</v>
      </c>
      <c r="G61" s="4">
        <f>$F$5*F60</f>
        <v>0.25608000000000003</v>
      </c>
      <c r="H61" s="4">
        <f>$G$5*F60</f>
        <v>0.51216000000000006</v>
      </c>
      <c r="I61" s="4">
        <f>$H$5*B61+$I$5*C61</f>
        <v>0</v>
      </c>
      <c r="J61" s="4">
        <f>J60+I61</f>
        <v>0</v>
      </c>
      <c r="K61" s="32">
        <f t="shared" ref="K61:K71" si="26">J61/(B61+C61)</f>
        <v>0</v>
      </c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</row>
    <row r="62" spans="1:24" x14ac:dyDescent="0.25">
      <c r="A62" s="11" t="str">
        <f>$A$23</f>
        <v>Spring 2024</v>
      </c>
      <c r="B62" s="4">
        <f>IF(B61-D61+G61-(B61*($B$5+$H$5))+(C61*($C$5))&lt;0,0,B61-D61+G61-(B61*($B$5+$H$5))+(C61*($C$5)))</f>
        <v>100.63944000000001</v>
      </c>
      <c r="C62" s="4">
        <f>IF(C61-E61+H61-(C61*($C$5+$I$5))+(B61*($B$5))&lt;0,0,C61-E61+H61-(C61*($C$5+$I$5))+(B61*($B$5)))</f>
        <v>82.993200000000002</v>
      </c>
      <c r="D62" s="4">
        <f>$D$6*B62</f>
        <v>10.063944000000001</v>
      </c>
      <c r="E62" s="4">
        <f>$E$6*C62</f>
        <v>12.448980000000001</v>
      </c>
      <c r="F62" s="4">
        <f t="shared" ref="F62:F71" si="27">F61+D62+E62</f>
        <v>72.448524000000006</v>
      </c>
      <c r="G62" s="4">
        <f>$F$6*F61</f>
        <v>0.99871200000000016</v>
      </c>
      <c r="H62" s="4">
        <f>$G$6*F61</f>
        <v>1.4980680000000002</v>
      </c>
      <c r="I62" s="4">
        <f>$H$6*B62+$I$6*C62</f>
        <v>0</v>
      </c>
      <c r="J62" s="4">
        <f t="shared" ref="J62:J71" si="28">J61+I62</f>
        <v>0</v>
      </c>
      <c r="K62" s="32">
        <f t="shared" si="26"/>
        <v>0</v>
      </c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</row>
    <row r="63" spans="1:24" x14ac:dyDescent="0.25">
      <c r="A63" s="11" t="str">
        <f>$A$24</f>
        <v>Fall 2025</v>
      </c>
      <c r="B63" s="4">
        <f>IF(B62-D62+G62-(B62*($B$6+$H$6))+(C62*($C$6))&lt;0,0,B62-D62+G62-(B62*($B$6+$H$6))+(C62*($C$6)))</f>
        <v>77.732851199999999</v>
      </c>
      <c r="C63" s="4">
        <f>IF(C62-E62+H62-(C62*($C$6+$I$6))+(B62*($B$6))&lt;0,0,C62-E62+H62-(C62*($C$6+$I$6))+(B62*($B$6)))</f>
        <v>85.883644799999999</v>
      </c>
      <c r="D63" s="4">
        <f>$D$7*B63</f>
        <v>7.7732851200000006</v>
      </c>
      <c r="E63" s="4">
        <f>$E$7*C63</f>
        <v>12.882546719999999</v>
      </c>
      <c r="F63" s="4">
        <f t="shared" si="27"/>
        <v>93.104355839999997</v>
      </c>
      <c r="G63" s="4">
        <f>$F$7*F62</f>
        <v>2.1734557200000002</v>
      </c>
      <c r="H63" s="4">
        <f>$G$7*F62</f>
        <v>2.8979409600000001</v>
      </c>
      <c r="I63" s="4">
        <f>$H$7*B63+$I$7*C63</f>
        <v>0</v>
      </c>
      <c r="J63" s="4">
        <f t="shared" si="28"/>
        <v>0</v>
      </c>
      <c r="K63" s="32">
        <f t="shared" si="26"/>
        <v>0</v>
      </c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</row>
    <row r="64" spans="1:24" x14ac:dyDescent="0.25">
      <c r="A64" s="11" t="str">
        <f>$A$25</f>
        <v>Spring 2025</v>
      </c>
      <c r="B64" s="4">
        <f>IF(B63-D63+G63-(B63*($B$7+$H$7))+(C63*($C$7))&lt;0,0,B63-D63+G63-(B63*($B$7+$H$7))+(C63*($C$7)))</f>
        <v>62.842830504000013</v>
      </c>
      <c r="C64" s="4">
        <f>IF(C63-E63+H63-(C63*($C$7+$I$7))+(B63*($B$7))&lt;0,0,C63-E63+H63-(C63*($C$7+$I$7))+(B63*($B$7)))</f>
        <v>85.189230336000008</v>
      </c>
      <c r="D64" s="4">
        <f>$D$8*B64</f>
        <v>6.2842830504000018</v>
      </c>
      <c r="E64" s="4">
        <f>$E$8*C64</f>
        <v>12.7783845504</v>
      </c>
      <c r="F64" s="4">
        <f t="shared" si="27"/>
        <v>112.16702344080001</v>
      </c>
      <c r="G64" s="4">
        <f>$F$8*F63</f>
        <v>2.7931306751999996</v>
      </c>
      <c r="H64" s="4">
        <f>$G$8*F63</f>
        <v>4.6552177920000002</v>
      </c>
      <c r="I64" s="4">
        <f>$H$8*B64+$I$8*C64</f>
        <v>0</v>
      </c>
      <c r="J64" s="4">
        <f t="shared" si="28"/>
        <v>0</v>
      </c>
      <c r="K64" s="32">
        <f t="shared" si="26"/>
        <v>0</v>
      </c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</row>
    <row r="65" spans="1:24" x14ac:dyDescent="0.25">
      <c r="A65" s="11" t="str">
        <f>$A$26</f>
        <v>Fall 2026</v>
      </c>
      <c r="B65" s="4">
        <f>IF(B64-D64+G64-(B64*($B$8+$H$8))+(C64*($C$8))&lt;0,0,B64-D64+G64-(B64*($B$8+$H$8))+(C64*($C$8)))</f>
        <v>52.788321841440009</v>
      </c>
      <c r="C65" s="4">
        <f>IF(C64-E64+H64-(C64*($C$8+$I$8))+(B64*($B$8))&lt;0,0,C64-E64+H64-(C64*($C$8+$I$8))+(B64*($B$8)))</f>
        <v>83.629419864959999</v>
      </c>
      <c r="D65" s="4">
        <f>$D$9*B65</f>
        <v>5.2788321841440009</v>
      </c>
      <c r="E65" s="4">
        <f>$E$9*C65</f>
        <v>12.544412979743999</v>
      </c>
      <c r="F65" s="4">
        <f t="shared" si="27"/>
        <v>129.99026860468803</v>
      </c>
      <c r="G65" s="4">
        <f>$F$9*F64</f>
        <v>3.3650107032240002</v>
      </c>
      <c r="H65" s="4">
        <f>$G$9*F64</f>
        <v>5.6083511720400008</v>
      </c>
      <c r="I65" s="4">
        <f>$H$9*B65+$I$9*C65</f>
        <v>0</v>
      </c>
      <c r="J65" s="4">
        <f t="shared" si="28"/>
        <v>0</v>
      </c>
      <c r="K65" s="32">
        <f t="shared" si="26"/>
        <v>0</v>
      </c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</row>
    <row r="66" spans="1:24" x14ac:dyDescent="0.25">
      <c r="A66" s="11" t="str">
        <f>$A$27</f>
        <v>Spring 2026</v>
      </c>
      <c r="B66" s="4">
        <f>IF(B65-D65+G65-(B65*($B$9+$H$9))+(C65*($C$9))&lt;0,0,B65-D65+G65-(B65*($B$9+$H$9))+(C65*($C$9)))</f>
        <v>46.040361886656001</v>
      </c>
      <c r="C66" s="4">
        <f>IF(C65-E65+H65-(C65*($C$9+$I$9))+(B65*($B$9))&lt;0,0,C65-E65+H65-(C65*($C$9+$I$9))+(B65*($B$9)))</f>
        <v>81.527496531120008</v>
      </c>
      <c r="D66" s="4">
        <f>$D$10*B66</f>
        <v>4.6040361886656003</v>
      </c>
      <c r="E66" s="4">
        <f>$E$10*C66</f>
        <v>12.229124479668</v>
      </c>
      <c r="F66" s="4">
        <f t="shared" si="27"/>
        <v>146.82342927302162</v>
      </c>
      <c r="G66" s="4">
        <f>$F$10*F65</f>
        <v>3.8997080581406407</v>
      </c>
      <c r="H66" s="4">
        <f>$G$10*F65</f>
        <v>6.4995134302344013</v>
      </c>
      <c r="I66" s="4">
        <f>$H$10*B66+$I$10*C66</f>
        <v>0.46040361886656</v>
      </c>
      <c r="J66" s="4">
        <f t="shared" si="28"/>
        <v>0.46040361886656</v>
      </c>
      <c r="K66" s="32">
        <f t="shared" si="26"/>
        <v>3.6090879362321005E-3</v>
      </c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</row>
    <row r="67" spans="1:24" x14ac:dyDescent="0.25">
      <c r="A67" s="11" t="str">
        <f>$A$28</f>
        <v>Fall 2027</v>
      </c>
      <c r="B67" s="4">
        <f>IF(B66-D66+G66-(B66*($B$10+$H$10))+(C66*($C$10))&lt;0,0,B66-D66+G66-(B66*($B$10+$H$10))+(C66*($C$10)))</f>
        <v>41.057885699845919</v>
      </c>
      <c r="C67" s="4">
        <f>IF(C66-E66+H66-(C66*($C$10+$I$10))+(B66*($B$10))&lt;0,0,C66-E66+H66-(C66*($C$10+$I$10))+(B66*($B$10)))</f>
        <v>79.615629919104975</v>
      </c>
      <c r="D67" s="4">
        <f>$D$11*B67</f>
        <v>4.1057885699845924</v>
      </c>
      <c r="E67" s="4">
        <f>$E$11*C67</f>
        <v>11.942344487865746</v>
      </c>
      <c r="F67" s="4">
        <f t="shared" si="27"/>
        <v>162.87156233087194</v>
      </c>
      <c r="G67" s="4">
        <f>$F$11*F66</f>
        <v>4.4047028781906485</v>
      </c>
      <c r="H67" s="4">
        <f>$G$11*F66</f>
        <v>7.3411714636510812</v>
      </c>
      <c r="I67" s="4">
        <f>$H$11*B67+$I$11*C67</f>
        <v>0.82115771399691839</v>
      </c>
      <c r="J67" s="4">
        <f t="shared" si="28"/>
        <v>1.2815613328634785</v>
      </c>
      <c r="K67" s="32">
        <f t="shared" si="26"/>
        <v>1.0620071241731676E-2</v>
      </c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</row>
    <row r="68" spans="1:24" x14ac:dyDescent="0.25">
      <c r="A68" s="11" t="str">
        <f>$A$29</f>
        <v>Spring 2027</v>
      </c>
      <c r="B68" s="4">
        <f>IF(B67-D67+G67-(B67*($B$11+$H$11))+(C67*($C$11))&lt;0,0,B67-D67+G67-(B67*($B$11+$H$11))+(C67*($C$11)))</f>
        <v>37.411576147007153</v>
      </c>
      <c r="C68" s="4">
        <f>IF(C67-E67+H67-(C67*($C$11+$I$11))+(B67*($B$11))&lt;0,0,C67-E67+H67-(C67*($C$11+$I$11))+(B67*($B$11)))</f>
        <v>78.138523041938214</v>
      </c>
      <c r="D68" s="4">
        <f>$D$12*B68</f>
        <v>3.7411576147007155</v>
      </c>
      <c r="E68" s="4">
        <f>$E$12*C68</f>
        <v>11.720778456290732</v>
      </c>
      <c r="F68" s="4">
        <f t="shared" si="27"/>
        <v>178.33349840186338</v>
      </c>
      <c r="G68" s="4">
        <f>$F$12*F67</f>
        <v>4.8861468699261579</v>
      </c>
      <c r="H68" s="4">
        <f>$G$12*F67</f>
        <v>8.1435781165435976</v>
      </c>
      <c r="I68" s="4">
        <f>$H$12*B68+$I$12*C68</f>
        <v>5.6117364220510728</v>
      </c>
      <c r="J68" s="4">
        <f t="shared" si="28"/>
        <v>6.8932977549145509</v>
      </c>
      <c r="K68" s="32">
        <f t="shared" si="26"/>
        <v>5.9656355150701855E-2</v>
      </c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</row>
    <row r="69" spans="1:24" x14ac:dyDescent="0.25">
      <c r="A69" s="99"/>
      <c r="B69" s="4">
        <f>IF(B68-D68+G68-(B68*($B$12+$H$12))+(C68*($C$12))&lt;0,0,B68-D68+G68-(B68*($B$12+$H$12))+(C68*($C$12)))</f>
        <v>30.28343996321334</v>
      </c>
      <c r="C69" s="4">
        <f>IF(C68-E68+H68-(C68*($C$12+$I$12))+(B68*($B$12))&lt;0,0,C68-E68+H68-(C68*($C$12+$I$12))+(B68*($B$12)))</f>
        <v>77.222711719159264</v>
      </c>
      <c r="D69" s="4">
        <f>$D$13*B69</f>
        <v>3.0283439963213343</v>
      </c>
      <c r="E69" s="4">
        <f>$E$13*C69</f>
        <v>11.58340675787389</v>
      </c>
      <c r="F69" s="4">
        <f t="shared" si="27"/>
        <v>192.94524915605859</v>
      </c>
      <c r="G69" s="4">
        <f>$F$13*F68</f>
        <v>5.350004952055901</v>
      </c>
      <c r="H69" s="4">
        <f>$G$13*F68</f>
        <v>8.9166749200931701</v>
      </c>
      <c r="I69" s="4">
        <f>$H$13*B69+$I$13*C69</f>
        <v>4.5425159944820006</v>
      </c>
      <c r="J69" s="4">
        <f t="shared" si="28"/>
        <v>11.435813749396551</v>
      </c>
      <c r="K69" s="32">
        <f t="shared" si="26"/>
        <v>0.10637357556229632</v>
      </c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</row>
    <row r="70" spans="1:24" x14ac:dyDescent="0.25">
      <c r="A70" s="99"/>
      <c r="B70" s="4">
        <f>IF(B69-D69+G69-(B69*($B$13+$H$13))+(C69*($C$13))&lt;0,0,B69-D69+G69-(B69*($B$13+$H$13))+(C69*($C$13)))</f>
        <v>27.002658507049972</v>
      </c>
      <c r="C70" s="4">
        <f>IF(C69-E69+H69-(C69*($C$13+$I$13))+(B69*($B$13))&lt;0,0,C69-E69+H69-(C69*($C$13+$I$13))+(B69*($B$13)))</f>
        <v>75.615906298794499</v>
      </c>
      <c r="D70" s="4">
        <f>$D$14*B70</f>
        <v>2.7002658507049975</v>
      </c>
      <c r="E70" s="4">
        <f>$E$14*C70</f>
        <v>11.342385944819174</v>
      </c>
      <c r="F70" s="4">
        <f t="shared" si="27"/>
        <v>206.98790095158276</v>
      </c>
      <c r="G70" s="4">
        <f>$F$14*F69</f>
        <v>5.7883574746817574</v>
      </c>
      <c r="H70" s="4">
        <f>$G$14*F69</f>
        <v>9.6472624578029311</v>
      </c>
      <c r="I70" s="4">
        <f>$H$14*B70+$I$14*C70</f>
        <v>6.3188759650213306</v>
      </c>
      <c r="J70" s="4">
        <f t="shared" si="28"/>
        <v>17.754689714417882</v>
      </c>
      <c r="K70" s="32">
        <f t="shared" si="26"/>
        <v>0.17301635184637365</v>
      </c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</row>
    <row r="71" spans="1:24" x14ac:dyDescent="0.25">
      <c r="A71" s="99"/>
      <c r="B71" s="4">
        <f>IF(B70-D70+G70-(B70*($B$13+$H$13))+(C70*($C$13))&lt;0,0,B70-D70+G70-(B70*($B$13+$H$13))+(C70*($C$13)))</f>
        <v>25.771171017804196</v>
      </c>
      <c r="C71" s="4">
        <f>IF(C70-E70+H70-(C70*($C$14+$I$14))+(B70*($B$14))&lt;0,0,C70-E70+H70-(C70*($C$14+$I$14))+(B70*($B$14)))</f>
        <v>72.19151254504996</v>
      </c>
      <c r="D71" s="4">
        <f>$D$15*B71</f>
        <v>2.57711710178042</v>
      </c>
      <c r="E71" s="4">
        <f>$E$15*C71</f>
        <v>10.828726881757493</v>
      </c>
      <c r="F71" s="4">
        <f t="shared" si="27"/>
        <v>220.39374493512068</v>
      </c>
      <c r="G71" s="4">
        <f>$F$15*F70</f>
        <v>6.2096370285474825</v>
      </c>
      <c r="H71" s="4">
        <f>$G$15*F70</f>
        <v>10.349395047579138</v>
      </c>
      <c r="I71" s="4">
        <f>$H$15*B71+$I$15*C71</f>
        <v>6.7533361544726276</v>
      </c>
      <c r="J71" s="4">
        <f t="shared" si="28"/>
        <v>24.50802586889051</v>
      </c>
      <c r="K71" s="32">
        <f t="shared" si="26"/>
        <v>0.25017715907267729</v>
      </c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</row>
    <row r="72" spans="1:24" x14ac:dyDescent="0.25">
      <c r="A72" s="99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9" t="s">
        <v>115</v>
      </c>
      <c r="M72" s="8"/>
      <c r="N72" s="9" t="str">
        <f>"Coninuing Since  "&amp;$A$18</f>
        <v>Coninuing Since  New Fall 2022</v>
      </c>
      <c r="O72" s="8"/>
      <c r="P72" s="8"/>
      <c r="Q72" s="11" t="s">
        <v>116</v>
      </c>
      <c r="R72" s="13"/>
      <c r="S72" s="13"/>
      <c r="T72" s="13"/>
      <c r="U72" s="13"/>
      <c r="V72" s="13"/>
      <c r="W72" s="13"/>
      <c r="X72" s="13"/>
    </row>
    <row r="73" spans="1:24" x14ac:dyDescent="0.25">
      <c r="A73" s="11" t="str">
        <f>$A$17</f>
        <v>Semester</v>
      </c>
      <c r="B73" s="12" t="s">
        <v>71</v>
      </c>
      <c r="C73" s="12" t="s">
        <v>72</v>
      </c>
      <c r="D73" s="12" t="s">
        <v>82</v>
      </c>
      <c r="E73" s="12" t="s">
        <v>81</v>
      </c>
      <c r="F73" s="12" t="s">
        <v>73</v>
      </c>
      <c r="G73" s="12" t="s">
        <v>83</v>
      </c>
      <c r="H73" s="12" t="s">
        <v>84</v>
      </c>
      <c r="I73" s="12" t="s">
        <v>70</v>
      </c>
      <c r="J73" s="12" t="s">
        <v>74</v>
      </c>
      <c r="K73" s="12" t="s">
        <v>85</v>
      </c>
      <c r="L73" s="12" t="s">
        <v>89</v>
      </c>
      <c r="M73" s="12" t="s">
        <v>90</v>
      </c>
      <c r="N73" s="12" t="s">
        <v>89</v>
      </c>
      <c r="O73" s="12" t="s">
        <v>90</v>
      </c>
      <c r="P73" s="12" t="s">
        <v>89</v>
      </c>
      <c r="Q73" s="12" t="s">
        <v>90</v>
      </c>
      <c r="R73" s="13"/>
      <c r="S73" s="13"/>
      <c r="T73" s="13"/>
      <c r="U73" s="13"/>
      <c r="V73" s="13"/>
      <c r="W73" s="13"/>
      <c r="X73" s="13"/>
    </row>
    <row r="74" spans="1:24" x14ac:dyDescent="0.25">
      <c r="A74" s="11" t="str">
        <f>"New "&amp;$A$22</f>
        <v>New Fall 2024</v>
      </c>
      <c r="B74" s="92">
        <f>Enrollment!E3</f>
        <v>451.63199999999995</v>
      </c>
      <c r="C74" s="92">
        <f>Enrollment!E7</f>
        <v>112.90799999999999</v>
      </c>
      <c r="D74" s="4">
        <f>$D$4*B74</f>
        <v>45.163199999999996</v>
      </c>
      <c r="E74" s="4">
        <f>$E$4*C74</f>
        <v>16.936199999999996</v>
      </c>
      <c r="F74" s="4">
        <f>D74+E74</f>
        <v>62.099399999999989</v>
      </c>
      <c r="G74" s="4">
        <v>0</v>
      </c>
      <c r="H74" s="4">
        <v>0</v>
      </c>
      <c r="I74" s="4">
        <f>$H$4*B74+$I$4*C74</f>
        <v>0</v>
      </c>
      <c r="J74" s="4">
        <f>I74</f>
        <v>0</v>
      </c>
      <c r="K74" s="32">
        <f>J74/(B74+C74)</f>
        <v>0</v>
      </c>
      <c r="L74" s="4">
        <f>L180</f>
        <v>726.93737023608583</v>
      </c>
      <c r="M74" s="4">
        <f>M180</f>
        <v>1529.9045530415913</v>
      </c>
      <c r="N74" s="6">
        <f>B61+B48+B35+B22</f>
        <v>628.72561799999994</v>
      </c>
      <c r="O74" s="6">
        <f>C61+C48+C35+C22</f>
        <v>587.75071200000002</v>
      </c>
      <c r="P74" s="6">
        <f>L74+N74</f>
        <v>1355.6629882360858</v>
      </c>
      <c r="Q74" s="6">
        <f>M74+O74</f>
        <v>2117.6552650415915</v>
      </c>
      <c r="R74" s="13"/>
      <c r="S74" s="13"/>
      <c r="T74" s="13"/>
      <c r="U74" s="13"/>
      <c r="V74" s="13"/>
      <c r="W74" s="13"/>
      <c r="X74" s="13"/>
    </row>
    <row r="75" spans="1:24" x14ac:dyDescent="0.25">
      <c r="A75" s="11" t="str">
        <f>$A$23</f>
        <v>Spring 2024</v>
      </c>
      <c r="B75" s="4">
        <f>IF(B74-D74+G74-(B74*($B$4+$H$4))+(C74*($C$4))&lt;0,0,B74-D74+G74-(B74*($B$4+$H$4))+(C74*($C$4)))</f>
        <v>327.43319999999994</v>
      </c>
      <c r="C75" s="4">
        <f>IF(C74-E74+H74-(C74*($C$4+$I$4))+(B74*($B$4))&lt;0,0,C74-E74+H74-(C74*($C$4+$I$4))+(B74*($B$4)))</f>
        <v>175.00739999999996</v>
      </c>
      <c r="D75" s="4">
        <f>$D$5*B75</f>
        <v>32.743319999999997</v>
      </c>
      <c r="E75" s="4">
        <f>$E$5*C75</f>
        <v>26.251109999999994</v>
      </c>
      <c r="F75" s="4">
        <f>F74+D75+E75</f>
        <v>121.09382999999998</v>
      </c>
      <c r="G75" s="4">
        <f>$F$5*F74</f>
        <v>0.62099399999999993</v>
      </c>
      <c r="H75" s="4">
        <f>$G$5*F74</f>
        <v>1.2419879999999999</v>
      </c>
      <c r="I75" s="4">
        <f>$H$5*B75+$I$5*C75</f>
        <v>0</v>
      </c>
      <c r="J75" s="4">
        <f>J74+I75</f>
        <v>0</v>
      </c>
      <c r="K75" s="32">
        <f t="shared" ref="K75:K85" si="29">J75/(B75+C75)</f>
        <v>0</v>
      </c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</row>
    <row r="76" spans="1:24" x14ac:dyDescent="0.25">
      <c r="A76" s="11" t="str">
        <f>$A$24</f>
        <v>Fall 2025</v>
      </c>
      <c r="B76" s="4">
        <f>IF(B75-D75+G75-(B75*($B$5+$H$5))+(C75*($C$5))&lt;0,0,B75-D75+G75-(B75*($B$5+$H$5))+(C75*($C$5)))</f>
        <v>244.05064199999998</v>
      </c>
      <c r="C76" s="4">
        <f>IF(C75-E75+H75-(C75*($C$5+$I$5))+(B75*($B$5))&lt;0,0,C75-E75+H75-(C75*($C$5+$I$5))+(B75*($B$5)))</f>
        <v>201.25850999999994</v>
      </c>
      <c r="D76" s="4">
        <f>$D$6*B76</f>
        <v>24.405064199999998</v>
      </c>
      <c r="E76" s="4">
        <f>$E$6*C76</f>
        <v>30.188776499999989</v>
      </c>
      <c r="F76" s="4">
        <f t="shared" ref="F76:F85" si="30">F75+D76+E76</f>
        <v>175.68767069999998</v>
      </c>
      <c r="G76" s="4">
        <f>$F$6*F75</f>
        <v>2.4218765999999996</v>
      </c>
      <c r="H76" s="4">
        <f>$G$6*F75</f>
        <v>3.6328148999999992</v>
      </c>
      <c r="I76" s="4">
        <f>$H$6*B76+$I$6*C76</f>
        <v>0</v>
      </c>
      <c r="J76" s="4">
        <f t="shared" ref="J76:J85" si="31">J75+I76</f>
        <v>0</v>
      </c>
      <c r="K76" s="32">
        <f t="shared" si="29"/>
        <v>0</v>
      </c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</row>
    <row r="77" spans="1:24" x14ac:dyDescent="0.25">
      <c r="A77" s="11" t="str">
        <f>$A$25</f>
        <v>Spring 2025</v>
      </c>
      <c r="B77" s="4">
        <f>IF(B76-D76+G76-(B76*($B$6+$H$6))+(C76*($C$6))&lt;0,0,B76-D76+G76-(B76*($B$6+$H$6))+(C76*($C$6)))</f>
        <v>188.50216416000001</v>
      </c>
      <c r="C77" s="4">
        <f>IF(C76-E76+H76-(C76*($C$6+$I$6))+(B76*($B$6))&lt;0,0,C76-E76+H76-(C76*($C$6+$I$6))+(B76*($B$6)))</f>
        <v>208.26783863999992</v>
      </c>
      <c r="D77" s="4">
        <f>$D$7*B77</f>
        <v>18.850216416000002</v>
      </c>
      <c r="E77" s="4">
        <f>$E$7*C77</f>
        <v>31.240175795999988</v>
      </c>
      <c r="F77" s="4">
        <f t="shared" si="30"/>
        <v>225.77806291199997</v>
      </c>
      <c r="G77" s="4">
        <f>$F$7*F76</f>
        <v>5.2706301209999991</v>
      </c>
      <c r="H77" s="4">
        <f>$G$7*F76</f>
        <v>7.0275068279999999</v>
      </c>
      <c r="I77" s="4">
        <f>$H$7*B77+$I$7*C77</f>
        <v>0</v>
      </c>
      <c r="J77" s="4">
        <f t="shared" si="31"/>
        <v>0</v>
      </c>
      <c r="K77" s="32">
        <f t="shared" si="29"/>
        <v>0</v>
      </c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</row>
    <row r="78" spans="1:24" x14ac:dyDescent="0.25">
      <c r="A78" s="11" t="str">
        <f>$A$26</f>
        <v>Fall 2026</v>
      </c>
      <c r="B78" s="4">
        <f>IF(B77-D77+G77-(B77*($B$7+$H$7))+(C77*($C$7))&lt;0,0,B77-D77+G77-(B77*($B$7+$H$7))+(C77*($C$7)))</f>
        <v>152.39386397219999</v>
      </c>
      <c r="C78" s="4">
        <f>IF(C77-E77+H77-(C77*($C$7+$I$7))+(B77*($B$7))&lt;0,0,C77-E77+H77-(C77*($C$7+$I$7))+(B77*($B$7)))</f>
        <v>206.58388356479992</v>
      </c>
      <c r="D78" s="4">
        <f>$D$8*B78</f>
        <v>15.239386397220001</v>
      </c>
      <c r="E78" s="4">
        <f>$E$8*C78</f>
        <v>30.987582534719987</v>
      </c>
      <c r="F78" s="4">
        <f t="shared" si="30"/>
        <v>272.00503184393995</v>
      </c>
      <c r="G78" s="4">
        <f>$F$8*F77</f>
        <v>6.7733418873599991</v>
      </c>
      <c r="H78" s="4">
        <f>$G$8*F77</f>
        <v>11.288903145599999</v>
      </c>
      <c r="I78" s="4">
        <f>$H$8*B78+$I$8*C78</f>
        <v>0</v>
      </c>
      <c r="J78" s="4">
        <f t="shared" si="31"/>
        <v>0</v>
      </c>
      <c r="K78" s="32">
        <f t="shared" si="29"/>
        <v>0</v>
      </c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</row>
    <row r="79" spans="1:24" x14ac:dyDescent="0.25">
      <c r="A79" s="11" t="str">
        <f>$A$27</f>
        <v>Spring 2026</v>
      </c>
      <c r="B79" s="4">
        <f>IF(B78-D78+G78-(B78*($B$8+$H$8))+(C78*($C$8))&lt;0,0,B78-D78+G78-(B78*($B$8+$H$8))+(C78*($C$8)))</f>
        <v>128.01168046549202</v>
      </c>
      <c r="C79" s="4">
        <f>IF(C78-E78+H78-(C78*($C$8+$I$8))+(B78*($B$8))&lt;0,0,C78-E78+H78-(C78*($C$8+$I$8))+(B78*($B$8)))</f>
        <v>202.80134317252791</v>
      </c>
      <c r="D79" s="4">
        <f>$D$9*B79</f>
        <v>12.801168046549202</v>
      </c>
      <c r="E79" s="4">
        <f>$E$9*C79</f>
        <v>30.420201475879185</v>
      </c>
      <c r="F79" s="4">
        <f t="shared" si="30"/>
        <v>315.22640136636835</v>
      </c>
      <c r="G79" s="4">
        <f>$F$9*F78</f>
        <v>8.1601509553181977</v>
      </c>
      <c r="H79" s="4">
        <f>$G$9*F78</f>
        <v>13.600251592196997</v>
      </c>
      <c r="I79" s="4">
        <f>$H$9*B79+$I$9*C79</f>
        <v>0</v>
      </c>
      <c r="J79" s="4">
        <f t="shared" si="31"/>
        <v>0</v>
      </c>
      <c r="K79" s="32">
        <f t="shared" si="29"/>
        <v>0</v>
      </c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</row>
    <row r="80" spans="1:24" x14ac:dyDescent="0.25">
      <c r="A80" s="11" t="str">
        <f>$A$28</f>
        <v>Fall 2027</v>
      </c>
      <c r="B80" s="4">
        <f>IF(B79-D79+G79-(B79*($B$9+$H$9))+(C79*($C$9))&lt;0,0,B79-D79+G79-(B79*($B$9+$H$9))+(C79*($C$9)))</f>
        <v>111.6478775751408</v>
      </c>
      <c r="C80" s="4">
        <f>IF(C79-E79+H79-(C79*($C$9+$I$9))+(B79*($B$9))&lt;0,0,C79-E79+H79-(C79*($C$9+$I$9))+(B79*($B$9)))</f>
        <v>197.70417908796594</v>
      </c>
      <c r="D80" s="4">
        <f>$D$10*B80</f>
        <v>11.16478775751408</v>
      </c>
      <c r="E80" s="4">
        <f>$E$10*C80</f>
        <v>29.65562686319489</v>
      </c>
      <c r="F80" s="4">
        <f t="shared" si="30"/>
        <v>356.04681598707731</v>
      </c>
      <c r="G80" s="4">
        <f>$F$10*F79</f>
        <v>9.4567920409910506</v>
      </c>
      <c r="H80" s="4">
        <f>$G$10*F79</f>
        <v>15.761320068318419</v>
      </c>
      <c r="I80" s="4">
        <f>$H$10*B80+$I$10*C80</f>
        <v>1.1164787757514081</v>
      </c>
      <c r="J80" s="4">
        <f t="shared" si="31"/>
        <v>1.1164787757514081</v>
      </c>
      <c r="K80" s="32">
        <f t="shared" si="29"/>
        <v>3.6090879362321018E-3</v>
      </c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</row>
    <row r="81" spans="1:24" x14ac:dyDescent="0.25">
      <c r="A81" s="11" t="str">
        <f>$A$29</f>
        <v>Spring 2027</v>
      </c>
      <c r="B81" s="4">
        <f>IF(B80-D80+G80-(B80*($B$10+$H$10))+(C80*($C$10))&lt;0,0,B80-D80+G80-(B80*($B$10+$H$10))+(C80*($C$10)))</f>
        <v>99.565372822126335</v>
      </c>
      <c r="C81" s="4">
        <f>IF(C80-E80+H80-(C80*($C$10+$I$10))+(B80*($B$10))&lt;0,0,C80-E80+H80-(C80*($C$10+$I$10))+(B80*($B$10)))</f>
        <v>193.06790255382947</v>
      </c>
      <c r="D81" s="4">
        <f>$D$11*B81</f>
        <v>9.9565372822126346</v>
      </c>
      <c r="E81" s="4">
        <f>$E$11*C81</f>
        <v>28.960185383074418</v>
      </c>
      <c r="F81" s="4">
        <f t="shared" si="30"/>
        <v>394.96353865236438</v>
      </c>
      <c r="G81" s="4">
        <f>$F$11*F80</f>
        <v>10.681404479612318</v>
      </c>
      <c r="H81" s="4">
        <f>$G$11*F80</f>
        <v>17.802340799353868</v>
      </c>
      <c r="I81" s="4">
        <f>$H$11*B81+$I$11*C81</f>
        <v>1.9913074564425268</v>
      </c>
      <c r="J81" s="4">
        <f t="shared" si="31"/>
        <v>3.1077862321939351</v>
      </c>
      <c r="K81" s="32">
        <f t="shared" si="29"/>
        <v>1.0620071241731678E-2</v>
      </c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</row>
    <row r="82" spans="1:24" x14ac:dyDescent="0.25">
      <c r="A82" s="99"/>
      <c r="B82" s="4">
        <f>IF(B81-D81+G81-(B81*($B$11+$H$11))+(C81*($C$11))&lt;0,0,B81-D81+G81-(B81*($B$11+$H$11))+(C81*($C$11)))</f>
        <v>90.723072156492321</v>
      </c>
      <c r="C82" s="4">
        <f>IF(C81-E81+H81-(C81*($C$11+$I$11))+(B81*($B$11))&lt;0,0,C81-E81+H81-(C81*($C$11+$I$11))+(B81*($B$11)))</f>
        <v>189.48591837670008</v>
      </c>
      <c r="D82" s="4">
        <f>$D$12*B82</f>
        <v>9.0723072156492321</v>
      </c>
      <c r="E82" s="4">
        <f>$E$12*C82</f>
        <v>28.422887756505013</v>
      </c>
      <c r="F82" s="4">
        <f t="shared" si="30"/>
        <v>432.45873362451863</v>
      </c>
      <c r="G82" s="4">
        <f>$F$12*F81</f>
        <v>11.84890615957093</v>
      </c>
      <c r="H82" s="4">
        <f>$G$12*F81</f>
        <v>19.748176932618222</v>
      </c>
      <c r="I82" s="4">
        <f>$H$12*B82+$I$12*C82</f>
        <v>13.608460823473848</v>
      </c>
      <c r="J82" s="4">
        <f t="shared" si="31"/>
        <v>16.716247055667782</v>
      </c>
      <c r="K82" s="32">
        <f t="shared" si="29"/>
        <v>5.9656355150701869E-2</v>
      </c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</row>
    <row r="83" spans="1:24" x14ac:dyDescent="0.25">
      <c r="A83" s="99"/>
      <c r="B83" s="4">
        <f>IF(B82-D82+G82-(B82*($B$12+$H$12))+(C82*($C$12))&lt;0,0,B82-D82+G82-(B82*($B$12+$H$12))+(C82*($C$12)))</f>
        <v>73.437341910792327</v>
      </c>
      <c r="C83" s="4">
        <f>IF(C82-E82+H82-(C82*($C$12+$I$12))+(B82*($B$12))&lt;0,0,C82-E82+H82-(C82*($C$12+$I$12))+(B82*($B$12)))</f>
        <v>187.26507591896114</v>
      </c>
      <c r="D83" s="4">
        <f>$D$13*B83</f>
        <v>7.3437341910792329</v>
      </c>
      <c r="E83" s="4">
        <f>$E$13*C83</f>
        <v>28.08976138784417</v>
      </c>
      <c r="F83" s="4">
        <f t="shared" si="30"/>
        <v>467.89222920344207</v>
      </c>
      <c r="G83" s="4">
        <f>$F$13*F82</f>
        <v>12.973762008735559</v>
      </c>
      <c r="H83" s="4">
        <f>$G$13*F82</f>
        <v>21.622936681225934</v>
      </c>
      <c r="I83" s="4">
        <f>$H$13*B83+$I$13*C83</f>
        <v>11.015601286618848</v>
      </c>
      <c r="J83" s="4">
        <f t="shared" si="31"/>
        <v>27.731848342286632</v>
      </c>
      <c r="K83" s="32">
        <f t="shared" si="29"/>
        <v>0.10637357556229633</v>
      </c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</row>
    <row r="84" spans="1:24" x14ac:dyDescent="0.25">
      <c r="A84" s="99"/>
      <c r="B84" s="4">
        <f>IF(B83-D83+G83-(B83*($B$13+$H$13))+(C83*($C$13))&lt;0,0,B83-D83+G83-(B83*($B$13+$H$13))+(C83*($C$13)))</f>
        <v>65.481446879596149</v>
      </c>
      <c r="C84" s="4">
        <f>IF(C83-E83+H83-(C83*($C$13+$I$13))+(B83*($B$13))&lt;0,0,C83-E83+H83-(C83*($C$13+$I$13))+(B83*($B$13)))</f>
        <v>183.36857277457656</v>
      </c>
      <c r="D84" s="4">
        <f>$D$14*B84</f>
        <v>6.5481446879596152</v>
      </c>
      <c r="E84" s="4">
        <f>$E$14*C84</f>
        <v>27.505285916186484</v>
      </c>
      <c r="F84" s="4">
        <f t="shared" si="30"/>
        <v>501.94565980758819</v>
      </c>
      <c r="G84" s="4">
        <f>$F$14*F83</f>
        <v>14.036766876103261</v>
      </c>
      <c r="H84" s="4">
        <f>$G$14*F83</f>
        <v>23.394611460172104</v>
      </c>
      <c r="I84" s="4">
        <f>$H$14*B84+$I$14*C84</f>
        <v>15.323274215176719</v>
      </c>
      <c r="J84" s="4">
        <f t="shared" si="31"/>
        <v>43.055122557463349</v>
      </c>
      <c r="K84" s="32">
        <f t="shared" si="29"/>
        <v>0.17301635184637368</v>
      </c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</row>
    <row r="85" spans="1:24" x14ac:dyDescent="0.25">
      <c r="A85" s="99"/>
      <c r="B85" s="4">
        <f>IF(B84-D84+G84-(B84*($B$13+$H$13))+(C84*($C$13))&lt;0,0,B84-D84+G84-(B84*($B$13+$H$13))+(C84*($C$13)))</f>
        <v>62.495089718175151</v>
      </c>
      <c r="C85" s="4">
        <f>IF(C84-E84+H84-(C84*($C$14+$I$14))+(B84*($B$14))&lt;0,0,C84-E84+H84-(C84*($C$14+$I$14))+(B84*($B$14)))</f>
        <v>175.06441792174607</v>
      </c>
      <c r="D85" s="4">
        <f>$D$15*B85</f>
        <v>6.2495089718175159</v>
      </c>
      <c r="E85" s="4">
        <f>$E$15*C85</f>
        <v>26.259662688261908</v>
      </c>
      <c r="F85" s="4">
        <f t="shared" si="30"/>
        <v>534.45483146766765</v>
      </c>
      <c r="G85" s="4">
        <f>$F$15*F84</f>
        <v>15.058369794227644</v>
      </c>
      <c r="H85" s="4">
        <f>$G$15*F84</f>
        <v>25.097282990379412</v>
      </c>
      <c r="I85" s="4">
        <f>$H$15*B85+$I$15*C85</f>
        <v>16.376840174596115</v>
      </c>
      <c r="J85" s="4">
        <f t="shared" si="31"/>
        <v>59.431962732059461</v>
      </c>
      <c r="K85" s="32">
        <f t="shared" si="29"/>
        <v>0.25017715907267729</v>
      </c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</row>
    <row r="86" spans="1:24" x14ac:dyDescent="0.25">
      <c r="A86" s="99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9" t="s">
        <v>115</v>
      </c>
      <c r="M86" s="8"/>
      <c r="N86" s="9" t="str">
        <f>"Coninuing Since  "&amp;$A$18</f>
        <v>Coninuing Since  New Fall 2022</v>
      </c>
      <c r="O86" s="8"/>
      <c r="P86" s="8"/>
      <c r="Q86" s="11" t="s">
        <v>116</v>
      </c>
      <c r="R86" s="13"/>
      <c r="S86" s="13"/>
      <c r="T86" s="13"/>
      <c r="U86" s="13"/>
      <c r="V86" s="13"/>
      <c r="W86" s="13"/>
      <c r="X86" s="13"/>
    </row>
    <row r="87" spans="1:24" x14ac:dyDescent="0.25">
      <c r="A87" s="11" t="str">
        <f>$A$17</f>
        <v>Semester</v>
      </c>
      <c r="B87" s="12" t="s">
        <v>71</v>
      </c>
      <c r="C87" s="12" t="s">
        <v>72</v>
      </c>
      <c r="D87" s="12" t="s">
        <v>82</v>
      </c>
      <c r="E87" s="12" t="s">
        <v>81</v>
      </c>
      <c r="F87" s="12" t="s">
        <v>73</v>
      </c>
      <c r="G87" s="12" t="s">
        <v>83</v>
      </c>
      <c r="H87" s="12" t="s">
        <v>84</v>
      </c>
      <c r="I87" s="12" t="s">
        <v>70</v>
      </c>
      <c r="J87" s="12" t="s">
        <v>74</v>
      </c>
      <c r="K87" s="12" t="s">
        <v>85</v>
      </c>
      <c r="L87" s="12" t="s">
        <v>89</v>
      </c>
      <c r="M87" s="12" t="s">
        <v>90</v>
      </c>
      <c r="N87" s="12" t="s">
        <v>89</v>
      </c>
      <c r="O87" s="12" t="s">
        <v>90</v>
      </c>
      <c r="P87" s="12" t="s">
        <v>89</v>
      </c>
      <c r="Q87" s="12" t="s">
        <v>90</v>
      </c>
      <c r="R87" s="13"/>
      <c r="S87" s="13"/>
      <c r="T87" s="13"/>
      <c r="U87" s="13"/>
      <c r="V87" s="13"/>
      <c r="W87" s="13"/>
      <c r="X87" s="13"/>
    </row>
    <row r="88" spans="1:24" x14ac:dyDescent="0.25">
      <c r="A88" s="11" t="str">
        <f>"New "&amp;$A$23</f>
        <v>New Spring 2024</v>
      </c>
      <c r="B88" s="92">
        <f>Enrollment!E4</f>
        <v>180.65279999999998</v>
      </c>
      <c r="C88" s="92">
        <f>Enrollment!E8</f>
        <v>45.163199999999996</v>
      </c>
      <c r="D88" s="4">
        <f>$D$4*B88</f>
        <v>18.065279999999998</v>
      </c>
      <c r="E88" s="4">
        <f>$E$4*C88</f>
        <v>6.7744799999999996</v>
      </c>
      <c r="F88" s="4">
        <f>D88+E88</f>
        <v>24.839759999999998</v>
      </c>
      <c r="G88" s="4">
        <v>0</v>
      </c>
      <c r="H88" s="4">
        <v>0</v>
      </c>
      <c r="I88" s="4">
        <f>$H$4*B88+$I$4*C88</f>
        <v>0</v>
      </c>
      <c r="J88" s="4">
        <f>I88</f>
        <v>0</v>
      </c>
      <c r="K88" s="32">
        <f>J88/(B88+C88)</f>
        <v>0</v>
      </c>
      <c r="L88" s="4">
        <f>L181</f>
        <v>579.54729636608567</v>
      </c>
      <c r="M88" s="4">
        <f>M181</f>
        <v>1296.4031659615912</v>
      </c>
      <c r="N88" s="6">
        <f>B75+B62+B49+B36+B23</f>
        <v>823.24356708000005</v>
      </c>
      <c r="O88" s="6">
        <f>C75+C62+C49+C36+C23</f>
        <v>776.07340271999999</v>
      </c>
      <c r="P88" s="6">
        <f>L88+N88</f>
        <v>1402.7908634460857</v>
      </c>
      <c r="Q88" s="6">
        <f>M88+O88</f>
        <v>2072.4765686815913</v>
      </c>
      <c r="R88" s="13"/>
      <c r="S88" s="13"/>
      <c r="T88" s="13"/>
      <c r="U88" s="13"/>
      <c r="V88" s="13"/>
      <c r="W88" s="13"/>
      <c r="X88" s="13"/>
    </row>
    <row r="89" spans="1:24" x14ac:dyDescent="0.25">
      <c r="A89" s="11" t="str">
        <f>$A$24</f>
        <v>Fall 2025</v>
      </c>
      <c r="B89" s="4">
        <f>IF(B88-D88+G88-(B88*($B$4+$H$4))+(C88*($C$4))&lt;0,0,B88-D88+G88-(B88*($B$4+$H$4))+(C88*($C$4)))</f>
        <v>130.97327999999999</v>
      </c>
      <c r="C89" s="4">
        <f>IF(C88-E88+H88-(C88*($C$4+$I$4))+(B88*($B$4))&lt;0,0,C88-E88+H88-(C88*($C$4+$I$4))+(B88*($B$4)))</f>
        <v>70.002960000000002</v>
      </c>
      <c r="D89" s="4">
        <f>$D$5*B89</f>
        <v>13.097327999999999</v>
      </c>
      <c r="E89" s="4">
        <f>$E$5*C89</f>
        <v>10.500444</v>
      </c>
      <c r="F89" s="4">
        <f>F88+D89+E89</f>
        <v>48.437531999999997</v>
      </c>
      <c r="G89" s="4">
        <f>$F$5*F88</f>
        <v>0.2483976</v>
      </c>
      <c r="H89" s="4">
        <f>$G$5*F88</f>
        <v>0.49679519999999999</v>
      </c>
      <c r="I89" s="4">
        <f>$H$5*B89+$I$5*C89</f>
        <v>0</v>
      </c>
      <c r="J89" s="4">
        <f>J88+I89</f>
        <v>0</v>
      </c>
      <c r="K89" s="32">
        <f t="shared" ref="K89:K99" si="32">J89/(B89+C89)</f>
        <v>0</v>
      </c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</row>
    <row r="90" spans="1:24" x14ac:dyDescent="0.25">
      <c r="A90" s="11" t="str">
        <f>$A$25</f>
        <v>Spring 2025</v>
      </c>
      <c r="B90" s="4">
        <f>IF(B89-D89+G89-(B89*($B$5+$H$5))+(C89*($C$5))&lt;0,0,B89-D89+G89-(B89*($B$5+$H$5))+(C89*($C$5)))</f>
        <v>97.620256799999993</v>
      </c>
      <c r="C90" s="4">
        <f>IF(C89-E89+H89-(C89*($C$5+$I$5))+(B89*($B$5))&lt;0,0,C89-E89+H89-(C89*($C$5+$I$5))+(B89*($B$5)))</f>
        <v>80.503404000000003</v>
      </c>
      <c r="D90" s="4">
        <f>$D$6*B90</f>
        <v>9.7620256800000007</v>
      </c>
      <c r="E90" s="4">
        <f>$E$6*C90</f>
        <v>12.075510599999999</v>
      </c>
      <c r="F90" s="4">
        <f t="shared" ref="F90:F99" si="33">F89+D90+E90</f>
        <v>70.275068279999999</v>
      </c>
      <c r="G90" s="4">
        <f>$F$6*F89</f>
        <v>0.96875064</v>
      </c>
      <c r="H90" s="4">
        <f>$G$6*F89</f>
        <v>1.4531259599999999</v>
      </c>
      <c r="I90" s="4">
        <f>$H$6*B90+$I$6*C90</f>
        <v>0</v>
      </c>
      <c r="J90" s="4">
        <f t="shared" ref="J90:J99" si="34">J89+I90</f>
        <v>0</v>
      </c>
      <c r="K90" s="32">
        <f t="shared" si="32"/>
        <v>0</v>
      </c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</row>
    <row r="91" spans="1:24" x14ac:dyDescent="0.25">
      <c r="A91" s="11" t="str">
        <f>$A$26</f>
        <v>Fall 2026</v>
      </c>
      <c r="B91" s="4">
        <f>IF(B90-D90+G90-(B90*($B$6+$H$6))+(C90*($C$6))&lt;0,0,B90-D90+G90-(B90*($B$6+$H$6))+(C90*($C$6)))</f>
        <v>75.400865663999994</v>
      </c>
      <c r="C91" s="4">
        <f>IF(C90-E90+H90-(C90*($C$6+$I$6))+(B90*($B$6))&lt;0,0,C90-E90+H90-(C90*($C$6+$I$6))+(B90*($B$6)))</f>
        <v>83.307135455999997</v>
      </c>
      <c r="D91" s="4">
        <f>$D$7*B91</f>
        <v>7.5400865663999994</v>
      </c>
      <c r="E91" s="4">
        <f>$E$7*C91</f>
        <v>12.496070318399999</v>
      </c>
      <c r="F91" s="4">
        <f t="shared" si="33"/>
        <v>90.311225164799993</v>
      </c>
      <c r="G91" s="4">
        <f>$F$7*F90</f>
        <v>2.1082520483999998</v>
      </c>
      <c r="H91" s="4">
        <f>$G$7*F90</f>
        <v>2.8110027311999999</v>
      </c>
      <c r="I91" s="4">
        <f>$H$7*B91+$I$7*C91</f>
        <v>0</v>
      </c>
      <c r="J91" s="4">
        <f t="shared" si="34"/>
        <v>0</v>
      </c>
      <c r="K91" s="32">
        <f t="shared" si="32"/>
        <v>0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</row>
    <row r="92" spans="1:24" x14ac:dyDescent="0.25">
      <c r="A92" s="11" t="str">
        <f>$A$27</f>
        <v>Spring 2026</v>
      </c>
      <c r="B92" s="4">
        <f>IF(B91-D91+G91-(B91*($B$7+$H$7))+(C91*($C$7))&lt;0,0,B91-D91+G91-(B91*($B$7+$H$7))+(C91*($C$7)))</f>
        <v>60.957545588879988</v>
      </c>
      <c r="C92" s="4">
        <f>IF(C91-E91+H91-(C91*($C$7+$I$7))+(B91*($B$7))&lt;0,0,C91-E91+H91-(C91*($C$7+$I$7))+(B91*($B$7)))</f>
        <v>82.633553425919999</v>
      </c>
      <c r="D92" s="4">
        <f>$D$8*B92</f>
        <v>6.0957545588879993</v>
      </c>
      <c r="E92" s="4">
        <f>$E$8*C92</f>
        <v>12.395033013888</v>
      </c>
      <c r="F92" s="4">
        <f t="shared" si="33"/>
        <v>108.80201273757599</v>
      </c>
      <c r="G92" s="4">
        <f>$F$8*F91</f>
        <v>2.7093367549439997</v>
      </c>
      <c r="H92" s="4">
        <f>$G$8*F91</f>
        <v>4.51556125824</v>
      </c>
      <c r="I92" s="4">
        <f>$H$8*B92+$I$8*C92</f>
        <v>0</v>
      </c>
      <c r="J92" s="4">
        <f t="shared" si="34"/>
        <v>0</v>
      </c>
      <c r="K92" s="32">
        <f t="shared" si="32"/>
        <v>0</v>
      </c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</row>
    <row r="93" spans="1:24" x14ac:dyDescent="0.25">
      <c r="A93" s="11" t="str">
        <f>$A$28</f>
        <v>Fall 2027</v>
      </c>
      <c r="B93" s="4">
        <f>IF(B92-D92+G92-(B92*($B$8+$H$8))+(C92*($C$8))&lt;0,0,B92-D92+G92-(B92*($B$8+$H$8))+(C92*($C$8)))</f>
        <v>51.204672186196795</v>
      </c>
      <c r="C93" s="4">
        <f>IF(C92-E92+H92-(C92*($C$8+$I$8))+(B92*($B$8))&lt;0,0,C92-E92+H92-(C92*($C$8+$I$8))+(B92*($B$8)))</f>
        <v>81.120537269011194</v>
      </c>
      <c r="D93" s="4">
        <f>$D$9*B93</f>
        <v>5.1204672186196802</v>
      </c>
      <c r="E93" s="4">
        <f>$E$9*C93</f>
        <v>12.168080590351678</v>
      </c>
      <c r="F93" s="4">
        <f t="shared" si="33"/>
        <v>126.09056054654735</v>
      </c>
      <c r="G93" s="4">
        <f>$F$9*F92</f>
        <v>3.2640603821272798</v>
      </c>
      <c r="H93" s="4">
        <f>$G$9*F92</f>
        <v>5.4401006368787996</v>
      </c>
      <c r="I93" s="4">
        <f>$H$9*B93+$I$9*C93</f>
        <v>0</v>
      </c>
      <c r="J93" s="4">
        <f t="shared" si="34"/>
        <v>0</v>
      </c>
      <c r="K93" s="32">
        <f t="shared" si="32"/>
        <v>0</v>
      </c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</row>
    <row r="94" spans="1:24" x14ac:dyDescent="0.25">
      <c r="A94" s="11" t="str">
        <f>$A$29</f>
        <v>Spring 2027</v>
      </c>
      <c r="B94" s="4">
        <f>IF(B93-D93+G93-(B93*($B$9+$H$9))+(C93*($C$9))&lt;0,0,B93-D93+G93-(B93*($B$9+$H$9))+(C93*($C$9)))</f>
        <v>44.659151030056307</v>
      </c>
      <c r="C94" s="4">
        <f>IF(C93-E93+H93-(C93*($C$9+$I$9))+(B93*($B$9))&lt;0,0,C93-E93+H93-(C93*($C$9+$I$9))+(B93*($B$9)))</f>
        <v>79.081671635186382</v>
      </c>
      <c r="D94" s="4">
        <f>$D$10*B94</f>
        <v>4.4659151030056305</v>
      </c>
      <c r="E94" s="4">
        <f>$E$10*C94</f>
        <v>11.862250745277956</v>
      </c>
      <c r="F94" s="4">
        <f t="shared" si="33"/>
        <v>142.41872639483094</v>
      </c>
      <c r="G94" s="4">
        <f>$F$10*F93</f>
        <v>3.7827168163964204</v>
      </c>
      <c r="H94" s="4">
        <f>$G$10*F93</f>
        <v>6.3045280273273683</v>
      </c>
      <c r="I94" s="4">
        <f>$H$10*B94+$I$10*C94</f>
        <v>0.4465915103005631</v>
      </c>
      <c r="J94" s="4">
        <f t="shared" si="34"/>
        <v>0.4465915103005631</v>
      </c>
      <c r="K94" s="32">
        <f t="shared" si="32"/>
        <v>3.6090879362321009E-3</v>
      </c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</row>
    <row r="95" spans="1:24" x14ac:dyDescent="0.25">
      <c r="A95" s="99"/>
      <c r="B95" s="4">
        <f>IF(B94-D94+G94-(B94*($B$10+$H$10))+(C94*($C$10))&lt;0,0,B94-D94+G94-(B94*($B$10+$H$10))+(C94*($C$10)))</f>
        <v>39.826149128850538</v>
      </c>
      <c r="C95" s="4">
        <f>IF(C94-E94+H94-(C94*($C$10+$I$10))+(B94*($B$10))&lt;0,0,C94-E94+H94-(C94*($C$10+$I$10))+(B94*($B$10)))</f>
        <v>77.227161021531785</v>
      </c>
      <c r="D95" s="4">
        <f>$D$11*B95</f>
        <v>3.9826149128850541</v>
      </c>
      <c r="E95" s="4">
        <f>$E$11*C95</f>
        <v>11.584074153229768</v>
      </c>
      <c r="F95" s="4">
        <f t="shared" si="33"/>
        <v>157.98541546094577</v>
      </c>
      <c r="G95" s="4">
        <f>$F$11*F94</f>
        <v>4.2725617918449279</v>
      </c>
      <c r="H95" s="4">
        <f>$G$11*F94</f>
        <v>7.1209363197415474</v>
      </c>
      <c r="I95" s="4">
        <f>$H$11*B95+$I$11*C95</f>
        <v>0.79652298257701082</v>
      </c>
      <c r="J95" s="4">
        <f t="shared" si="34"/>
        <v>1.2431144928775739</v>
      </c>
      <c r="K95" s="32">
        <f t="shared" si="32"/>
        <v>1.0620071241731678E-2</v>
      </c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</row>
    <row r="96" spans="1:24" x14ac:dyDescent="0.25">
      <c r="A96" s="99"/>
      <c r="B96" s="4">
        <f>IF(B95-D95+G95-(B95*($B$11+$H$11))+(C95*($C$11))&lt;0,0,B95-D95+G95-(B95*($B$11+$H$11))+(C95*($C$11)))</f>
        <v>36.289228862596936</v>
      </c>
      <c r="C96" s="4">
        <f>IF(C95-E95+H95-(C95*($C$11+$I$11))+(B95*($B$11))&lt;0,0,C95-E95+H95-(C95*($C$11+$I$11))+(B95*($B$11)))</f>
        <v>75.794367350680034</v>
      </c>
      <c r="D96" s="4">
        <f>$D$12*B96</f>
        <v>3.6289228862596938</v>
      </c>
      <c r="E96" s="4">
        <f>$E$12*C96</f>
        <v>11.369155102602004</v>
      </c>
      <c r="F96" s="4">
        <f t="shared" si="33"/>
        <v>172.98349344980747</v>
      </c>
      <c r="G96" s="4">
        <f>$F$12*F95</f>
        <v>4.7395624638283733</v>
      </c>
      <c r="H96" s="4">
        <f>$G$12*F95</f>
        <v>7.8992707730472889</v>
      </c>
      <c r="I96" s="4">
        <f>$H$12*B96+$I$12*C96</f>
        <v>5.4433843293895405</v>
      </c>
      <c r="J96" s="4">
        <f t="shared" si="34"/>
        <v>6.6864988222671142</v>
      </c>
      <c r="K96" s="32">
        <f t="shared" si="32"/>
        <v>5.9656355150701876E-2</v>
      </c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</row>
    <row r="97" spans="1:24" x14ac:dyDescent="0.25">
      <c r="A97" s="99"/>
      <c r="B97" s="4">
        <f>IF(B96-D96+G96-(B96*($B$12+$H$12))+(C96*($C$12))&lt;0,0,B96-D96+G96-(B96*($B$12+$H$12))+(C96*($C$12)))</f>
        <v>29.374936764316931</v>
      </c>
      <c r="C97" s="4">
        <f>IF(C96-E96+H96-(C96*($C$12+$I$12))+(B96*($B$12))&lt;0,0,C96-E96+H96-(C96*($C$12+$I$12))+(B96*($B$12)))</f>
        <v>74.906030367584464</v>
      </c>
      <c r="D97" s="4">
        <f>$D$13*B97</f>
        <v>2.9374936764316932</v>
      </c>
      <c r="E97" s="4">
        <f>$E$13*C97</f>
        <v>11.235904555137669</v>
      </c>
      <c r="F97" s="4">
        <f t="shared" si="33"/>
        <v>187.15689168137683</v>
      </c>
      <c r="G97" s="4">
        <f>$F$13*F96</f>
        <v>5.1895048034942235</v>
      </c>
      <c r="H97" s="4">
        <f>$G$13*F96</f>
        <v>8.6491746724903731</v>
      </c>
      <c r="I97" s="4">
        <f>$H$13*B97+$I$13*C97</f>
        <v>4.4062405146475392</v>
      </c>
      <c r="J97" s="4">
        <f t="shared" si="34"/>
        <v>11.092739336914654</v>
      </c>
      <c r="K97" s="32">
        <f t="shared" si="32"/>
        <v>0.10637357556229635</v>
      </c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</row>
    <row r="98" spans="1:24" x14ac:dyDescent="0.25">
      <c r="A98" s="99"/>
      <c r="B98" s="4">
        <f>IF(B97-D97+G97-(B97*($B$13+$H$13))+(C97*($C$13))&lt;0,0,B97-D97+G97-(B97*($B$13+$H$13))+(C97*($C$13)))</f>
        <v>26.192578751838461</v>
      </c>
      <c r="C98" s="4">
        <f>IF(C97-E97+H97-(C97*($C$13+$I$13))+(B97*($B$13))&lt;0,0,C97-E97+H97-(C97*($C$13+$I$13))+(B97*($B$13)))</f>
        <v>73.347429109830642</v>
      </c>
      <c r="D98" s="4">
        <f>$D$14*B98</f>
        <v>2.6192578751838465</v>
      </c>
      <c r="E98" s="4">
        <f>$E$14*C98</f>
        <v>11.002114366474595</v>
      </c>
      <c r="F98" s="4">
        <f t="shared" si="33"/>
        <v>200.77826392303527</v>
      </c>
      <c r="G98" s="4">
        <f>$F$14*F97</f>
        <v>5.6147067504413046</v>
      </c>
      <c r="H98" s="4">
        <f>$G$14*F97</f>
        <v>9.3578445840688413</v>
      </c>
      <c r="I98" s="4">
        <f>$H$14*B98+$I$14*C98</f>
        <v>6.1293096860706875</v>
      </c>
      <c r="J98" s="4">
        <f t="shared" si="34"/>
        <v>17.222049022985342</v>
      </c>
      <c r="K98" s="32">
        <f t="shared" si="32"/>
        <v>0.17301635184637368</v>
      </c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</row>
    <row r="99" spans="1:24" x14ac:dyDescent="0.25">
      <c r="A99" s="99"/>
      <c r="B99" s="4">
        <f>IF(B98-D98+G98-(B98*($B$13+$H$13))+(C98*($C$13))&lt;0,0,B98-D98+G98-(B98*($B$13+$H$13))+(C98*($C$13)))</f>
        <v>24.99803588727006</v>
      </c>
      <c r="C99" s="4">
        <f>IF(C98-E98+H98-(C98*($C$14+$I$14))+(B98*($B$14))&lt;0,0,C98-E98+H98-(C98*($C$14+$I$14))+(B98*($B$14)))</f>
        <v>70.025767168698437</v>
      </c>
      <c r="D99" s="4">
        <f>$D$15*B99</f>
        <v>2.4998035887270063</v>
      </c>
      <c r="E99" s="4">
        <f>$E$15*C99</f>
        <v>10.503865075304764</v>
      </c>
      <c r="F99" s="4">
        <f t="shared" si="33"/>
        <v>213.78193258706705</v>
      </c>
      <c r="G99" s="4">
        <f>$F$15*F98</f>
        <v>6.0233479176910576</v>
      </c>
      <c r="H99" s="4">
        <f>$G$15*F98</f>
        <v>10.038913196151764</v>
      </c>
      <c r="I99" s="4">
        <f>$H$15*B99+$I$15*C99</f>
        <v>6.5507360698384467</v>
      </c>
      <c r="J99" s="4">
        <f t="shared" si="34"/>
        <v>23.772785092823788</v>
      </c>
      <c r="K99" s="32">
        <f t="shared" si="32"/>
        <v>0.25017715907267729</v>
      </c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</row>
    <row r="100" spans="1:24" x14ac:dyDescent="0.25">
      <c r="A100" s="8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9" t="s">
        <v>115</v>
      </c>
      <c r="M100" s="8"/>
      <c r="N100" s="9" t="str">
        <f>"Coninuing Since  "&amp;$A$18</f>
        <v>Coninuing Since  New Fall 2022</v>
      </c>
      <c r="O100" s="8"/>
      <c r="P100" s="8"/>
      <c r="Q100" s="11" t="s">
        <v>116</v>
      </c>
      <c r="R100" s="13"/>
      <c r="S100" s="13"/>
      <c r="T100" s="13"/>
      <c r="U100" s="13"/>
      <c r="V100" s="13"/>
      <c r="W100" s="13"/>
      <c r="X100" s="13"/>
    </row>
    <row r="101" spans="1:24" x14ac:dyDescent="0.25">
      <c r="A101" s="11" t="str">
        <f>$A$17</f>
        <v>Semester</v>
      </c>
      <c r="B101" s="12" t="s">
        <v>71</v>
      </c>
      <c r="C101" s="12" t="s">
        <v>72</v>
      </c>
      <c r="D101" s="12" t="s">
        <v>82</v>
      </c>
      <c r="E101" s="12" t="s">
        <v>81</v>
      </c>
      <c r="F101" s="12" t="s">
        <v>73</v>
      </c>
      <c r="G101" s="12" t="s">
        <v>83</v>
      </c>
      <c r="H101" s="12" t="s">
        <v>84</v>
      </c>
      <c r="I101" s="12" t="s">
        <v>70</v>
      </c>
      <c r="J101" s="12" t="s">
        <v>74</v>
      </c>
      <c r="K101" s="12" t="s">
        <v>85</v>
      </c>
      <c r="L101" s="12" t="s">
        <v>89</v>
      </c>
      <c r="M101" s="12" t="s">
        <v>90</v>
      </c>
      <c r="N101" s="12" t="s">
        <v>89</v>
      </c>
      <c r="O101" s="12" t="s">
        <v>90</v>
      </c>
      <c r="P101" s="12" t="s">
        <v>89</v>
      </c>
      <c r="Q101" s="12" t="s">
        <v>90</v>
      </c>
      <c r="R101" s="13"/>
      <c r="S101" s="13"/>
      <c r="T101" s="13"/>
      <c r="U101" s="13"/>
      <c r="V101" s="13"/>
      <c r="W101" s="13"/>
      <c r="X101" s="13"/>
    </row>
    <row r="102" spans="1:24" x14ac:dyDescent="0.25">
      <c r="A102" s="11" t="str">
        <f>"New "&amp;$A$24</f>
        <v>New Fall 2025</v>
      </c>
      <c r="B102" s="92">
        <f>Enrollment!F3</f>
        <v>438.08303999999993</v>
      </c>
      <c r="C102" s="92">
        <f>Enrollment!F7</f>
        <v>109.52075999999998</v>
      </c>
      <c r="D102" s="4">
        <f>$D$4*B102</f>
        <v>43.808303999999993</v>
      </c>
      <c r="E102" s="4">
        <f>$E$4*C102</f>
        <v>16.428113999999997</v>
      </c>
      <c r="F102" s="4">
        <f>D102+E102</f>
        <v>60.236417999999986</v>
      </c>
      <c r="G102" s="4">
        <v>0</v>
      </c>
      <c r="H102" s="4">
        <v>0</v>
      </c>
      <c r="I102" s="4">
        <f>$H$4*B102+$I$4*C102</f>
        <v>0</v>
      </c>
      <c r="J102" s="4">
        <f>I102</f>
        <v>0</v>
      </c>
      <c r="K102" s="32">
        <f>J102/(B102+C102)</f>
        <v>0</v>
      </c>
      <c r="L102" s="4">
        <f>L182</f>
        <v>450.99817597808573</v>
      </c>
      <c r="M102" s="4">
        <f>M182</f>
        <v>1068.7705510765911</v>
      </c>
      <c r="N102" s="6">
        <f>B90+B77+B64+B51+B38+B25</f>
        <v>634.21963971323999</v>
      </c>
      <c r="O102" s="6">
        <f>C90+C77+C64+C51+C38+C25</f>
        <v>872.27791060631989</v>
      </c>
      <c r="P102" s="6">
        <f>L102+N102</f>
        <v>1085.2178156913258</v>
      </c>
      <c r="Q102" s="6">
        <f>M102+O102</f>
        <v>1941.048461682911</v>
      </c>
      <c r="R102" s="13"/>
      <c r="S102" s="13"/>
      <c r="T102" s="13"/>
      <c r="U102" s="13"/>
      <c r="V102" s="13"/>
      <c r="W102" s="13"/>
      <c r="X102" s="13"/>
    </row>
    <row r="103" spans="1:24" x14ac:dyDescent="0.25">
      <c r="A103" s="11" t="str">
        <f>$A$25</f>
        <v>Spring 2025</v>
      </c>
      <c r="B103" s="4">
        <f>IF(B102-D102+G102-(B102*($B$4+$H$4))+(C102*($C$4))&lt;0,0,B102-D102+G102-(B102*($B$4+$H$4))+(C102*($C$4)))</f>
        <v>317.61020399999995</v>
      </c>
      <c r="C103" s="4">
        <f>IF(C102-E102+H102-(C102*($C$4+$I$4))+(B102*($B$4))&lt;0,0,C102-E102+H102-(C102*($C$4+$I$4))+(B102*($B$4)))</f>
        <v>169.75717799999998</v>
      </c>
      <c r="D103" s="4">
        <f>$D$5*B103</f>
        <v>31.761020399999996</v>
      </c>
      <c r="E103" s="4">
        <f>$E$5*C103</f>
        <v>25.463576699999997</v>
      </c>
      <c r="F103" s="4">
        <f>F102+D103+E103</f>
        <v>117.46101509999997</v>
      </c>
      <c r="G103" s="4">
        <f>$F$5*F102</f>
        <v>0.60236417999999992</v>
      </c>
      <c r="H103" s="4">
        <f>$G$5*F102</f>
        <v>1.2047283599999998</v>
      </c>
      <c r="I103" s="4">
        <f>$H$5*B103+$I$5*C103</f>
        <v>0</v>
      </c>
      <c r="J103" s="4">
        <f>J102+I103</f>
        <v>0</v>
      </c>
      <c r="K103" s="32">
        <f t="shared" ref="K103:K113" si="35">J103/(B103+C103)</f>
        <v>0</v>
      </c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</row>
    <row r="104" spans="1:24" x14ac:dyDescent="0.25">
      <c r="A104" s="11" t="str">
        <f>$A$26</f>
        <v>Fall 2026</v>
      </c>
      <c r="B104" s="4">
        <f>IF(B103-D103+G103-(B103*($B$5+$H$5))+(C103*($C$5))&lt;0,0,B103-D103+G103-(B103*($B$5+$H$5))+(C103*($C$5)))</f>
        <v>236.72912273999992</v>
      </c>
      <c r="C104" s="4">
        <f>IF(C103-E103+H103-(C103*($C$5+$I$5))+(B103*($B$5))&lt;0,0,C103-E103+H103-(C103*($C$5+$I$5))+(B103*($B$5)))</f>
        <v>195.22075469999999</v>
      </c>
      <c r="D104" s="4">
        <f>$D$6*B104</f>
        <v>23.672912273999994</v>
      </c>
      <c r="E104" s="4">
        <f>$E$6*C104</f>
        <v>29.283113204999996</v>
      </c>
      <c r="F104" s="4">
        <f t="shared" ref="F104:F113" si="36">F103+D104+E104</f>
        <v>170.41704057899997</v>
      </c>
      <c r="G104" s="4">
        <f>$F$6*F103</f>
        <v>2.3492203019999995</v>
      </c>
      <c r="H104" s="4">
        <f>$G$6*F103</f>
        <v>3.5238304529999991</v>
      </c>
      <c r="I104" s="4">
        <f>$H$6*B104+$I$6*C104</f>
        <v>0</v>
      </c>
      <c r="J104" s="4">
        <f t="shared" ref="J104:J113" si="37">J103+I104</f>
        <v>0</v>
      </c>
      <c r="K104" s="32">
        <f t="shared" si="35"/>
        <v>0</v>
      </c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</row>
    <row r="105" spans="1:24" x14ac:dyDescent="0.25">
      <c r="A105" s="11" t="str">
        <f>$A$27</f>
        <v>Spring 2026</v>
      </c>
      <c r="B105" s="4">
        <f>IF(B104-D104+G104-(B104*($B$6+$H$6))+(C104*($C$6))&lt;0,0,B104-D104+G104-(B104*($B$6+$H$6))+(C104*($C$6)))</f>
        <v>182.84709923519995</v>
      </c>
      <c r="C105" s="4">
        <f>IF(C104-E104+H104-(C104*($C$6+$I$6))+(B104*($B$6))&lt;0,0,C104-E104+H104-(C104*($C$6+$I$6))+(B104*($B$6)))</f>
        <v>202.01980348079994</v>
      </c>
      <c r="D105" s="4">
        <f>$D$7*B105</f>
        <v>18.284709923519994</v>
      </c>
      <c r="E105" s="4">
        <f>$E$7*C105</f>
        <v>30.302970522119988</v>
      </c>
      <c r="F105" s="4">
        <f t="shared" si="36"/>
        <v>219.00472102463993</v>
      </c>
      <c r="G105" s="4">
        <f>$F$7*F104</f>
        <v>5.1125112173699989</v>
      </c>
      <c r="H105" s="4">
        <f>$G$7*F104</f>
        <v>6.8166816231599991</v>
      </c>
      <c r="I105" s="4">
        <f>$H$7*B105+$I$7*C105</f>
        <v>0</v>
      </c>
      <c r="J105" s="4">
        <f t="shared" si="37"/>
        <v>0</v>
      </c>
      <c r="K105" s="32">
        <f t="shared" si="35"/>
        <v>0</v>
      </c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</row>
    <row r="106" spans="1:24" x14ac:dyDescent="0.25">
      <c r="A106" s="11" t="str">
        <f>$A$28</f>
        <v>Fall 2027</v>
      </c>
      <c r="B106" s="4">
        <f>IF(B105-D105+G105-(B105*($B$7+$H$7))+(C105*($C$7))&lt;0,0,B105-D105+G105-(B105*($B$7+$H$7))+(C105*($C$7)))</f>
        <v>147.82204805303397</v>
      </c>
      <c r="C106" s="4">
        <f>IF(C105-E105+H105-(C105*($C$7+$I$7))+(B105*($B$7))&lt;0,0,C105-E105+H105-(C105*($C$7+$I$7))+(B105*($B$7)))</f>
        <v>200.38636705785598</v>
      </c>
      <c r="D106" s="4">
        <f>$D$8*B106</f>
        <v>14.782204805303397</v>
      </c>
      <c r="E106" s="4">
        <f>$E$8*C106</f>
        <v>30.057955058678395</v>
      </c>
      <c r="F106" s="4">
        <f t="shared" si="36"/>
        <v>263.84488088862173</v>
      </c>
      <c r="G106" s="4">
        <f>$F$8*F105</f>
        <v>6.5701416307391982</v>
      </c>
      <c r="H106" s="4">
        <f>$G$8*F105</f>
        <v>10.950236051231997</v>
      </c>
      <c r="I106" s="4">
        <f>$H$8*B106+$I$8*C106</f>
        <v>0</v>
      </c>
      <c r="J106" s="4">
        <f t="shared" si="37"/>
        <v>0</v>
      </c>
      <c r="K106" s="32">
        <f t="shared" si="35"/>
        <v>0</v>
      </c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</row>
    <row r="107" spans="1:24" x14ac:dyDescent="0.25">
      <c r="A107" s="11" t="str">
        <f>$A$29</f>
        <v>Spring 2027</v>
      </c>
      <c r="B107" s="4">
        <f>IF(B106-D106+G106-(B106*($B$8+$H$8))+(C106*($C$8))&lt;0,0,B106-D106+G106-(B106*($B$8+$H$8))+(C106*($C$8)))</f>
        <v>124.17133005152721</v>
      </c>
      <c r="C107" s="4">
        <f>IF(C106-E106+H106-(C106*($C$8+$I$8))+(B106*($B$8))&lt;0,0,C106-E106+H106-(C106*($C$8+$I$8))+(B106*($B$8)))</f>
        <v>196.71730287735213</v>
      </c>
      <c r="D107" s="4">
        <f>$D$9*B107</f>
        <v>12.417133005152721</v>
      </c>
      <c r="E107" s="4">
        <f>$E$9*C107</f>
        <v>29.507595431602816</v>
      </c>
      <c r="F107" s="4">
        <f t="shared" si="36"/>
        <v>305.76960932537725</v>
      </c>
      <c r="G107" s="4">
        <f>$F$9*F106</f>
        <v>7.915346426658652</v>
      </c>
      <c r="H107" s="4">
        <f>$G$9*F106</f>
        <v>13.192244044431087</v>
      </c>
      <c r="I107" s="4">
        <f>$H$9*B107+$I$9*C107</f>
        <v>0</v>
      </c>
      <c r="J107" s="4">
        <f t="shared" si="37"/>
        <v>0</v>
      </c>
      <c r="K107" s="32">
        <f t="shared" si="35"/>
        <v>0</v>
      </c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</row>
    <row r="108" spans="1:24" x14ac:dyDescent="0.25">
      <c r="A108" s="99"/>
      <c r="B108" s="4">
        <f>IF(B107-D107+G107-(B107*($B$9+$H$9))+(C107*($C$9))&lt;0,0,B107-D107+G107-(B107*($B$9+$H$9))+(C107*($C$9)))</f>
        <v>108.29844124788656</v>
      </c>
      <c r="C108" s="4">
        <f>IF(C107-E107+H107-(C107*($C$9+$I$9))+(B107*($B$9))&lt;0,0,C107-E107+H107-(C107*($C$9+$I$9))+(B107*($B$9)))</f>
        <v>191.77305371532697</v>
      </c>
      <c r="D108" s="4">
        <f>$D$10*B108</f>
        <v>10.829844124788657</v>
      </c>
      <c r="E108" s="4">
        <f>$E$10*C108</f>
        <v>28.765958057299045</v>
      </c>
      <c r="F108" s="4">
        <f t="shared" si="36"/>
        <v>345.36541150746496</v>
      </c>
      <c r="G108" s="4">
        <f>$F$10*F107</f>
        <v>9.1730882797613162</v>
      </c>
      <c r="H108" s="4">
        <f>$G$10*F107</f>
        <v>15.288480466268863</v>
      </c>
      <c r="I108" s="4">
        <f>$H$10*B108+$I$10*C108</f>
        <v>1.0829844124788657</v>
      </c>
      <c r="J108" s="4">
        <f t="shared" si="37"/>
        <v>1.0829844124788657</v>
      </c>
      <c r="K108" s="32">
        <f t="shared" si="35"/>
        <v>3.6090879362321014E-3</v>
      </c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</row>
    <row r="109" spans="1:24" x14ac:dyDescent="0.25">
      <c r="A109" s="99"/>
      <c r="B109" s="4">
        <f>IF(B108-D108+G108-(B108*($B$10+$H$10))+(C108*($C$10))&lt;0,0,B108-D108+G108-(B108*($B$10+$H$10))+(C108*($C$10)))</f>
        <v>96.578411637462551</v>
      </c>
      <c r="C109" s="4">
        <f>IF(C108-E108+H108-(C108*($C$10+$I$10))+(B108*($B$10))&lt;0,0,C108-E108+H108-(C108*($C$10+$I$10))+(B108*($B$10)))</f>
        <v>187.27586547721461</v>
      </c>
      <c r="D109" s="4">
        <f>$D$11*B109</f>
        <v>9.6578411637462551</v>
      </c>
      <c r="E109" s="4">
        <f>$E$11*C109</f>
        <v>28.091379821582191</v>
      </c>
      <c r="F109" s="4">
        <f t="shared" si="36"/>
        <v>383.11463249279336</v>
      </c>
      <c r="G109" s="4">
        <f>$F$11*F108</f>
        <v>10.360962345223948</v>
      </c>
      <c r="H109" s="4">
        <f>$G$11*F108</f>
        <v>17.268270575373247</v>
      </c>
      <c r="I109" s="4">
        <f>$H$11*B109+$I$11*C109</f>
        <v>1.9315682327492512</v>
      </c>
      <c r="J109" s="4">
        <f t="shared" si="37"/>
        <v>3.0145526452281168</v>
      </c>
      <c r="K109" s="32">
        <f t="shared" si="35"/>
        <v>1.0620071241731675E-2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</row>
    <row r="110" spans="1:24" x14ac:dyDescent="0.25">
      <c r="A110" s="99"/>
      <c r="B110" s="4">
        <f>IF(B109-D109+G109-(B109*($B$11+$H$11))+(C109*($C$11))&lt;0,0,B109-D109+G109-(B109*($B$11+$H$11))+(C109*($C$11)))</f>
        <v>88.001379991797563</v>
      </c>
      <c r="C110" s="4">
        <f>IF(C109-E109+H109-(C109*($C$11+$I$11))+(B109*($B$11))&lt;0,0,C109-E109+H109-(C109*($C$11+$I$11))+(B109*($B$11)))</f>
        <v>183.80134082539908</v>
      </c>
      <c r="D110" s="4">
        <f>$D$12*B110</f>
        <v>8.800137999179757</v>
      </c>
      <c r="E110" s="4">
        <f>$E$12*C110</f>
        <v>27.570201123809863</v>
      </c>
      <c r="F110" s="4">
        <f t="shared" si="36"/>
        <v>419.48497161578297</v>
      </c>
      <c r="G110" s="4">
        <f>$F$12*F109</f>
        <v>11.4934389747838</v>
      </c>
      <c r="H110" s="4">
        <f>$G$12*F109</f>
        <v>19.155731624639667</v>
      </c>
      <c r="I110" s="4">
        <f>$H$12*B110+$I$12*C110</f>
        <v>13.200206998769634</v>
      </c>
      <c r="J110" s="4">
        <f t="shared" si="37"/>
        <v>16.214759643997752</v>
      </c>
      <c r="K110" s="32">
        <f t="shared" si="35"/>
        <v>5.9656355150701869E-2</v>
      </c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</row>
    <row r="111" spans="1:24" x14ac:dyDescent="0.25">
      <c r="A111" s="99"/>
      <c r="B111" s="4">
        <f>IF(B110-D110+G110-(B110*($B$12+$H$12))+(C110*($C$12))&lt;0,0,B110-D110+G110-(B110*($B$12+$H$12))+(C110*($C$12)))</f>
        <v>71.234221653468566</v>
      </c>
      <c r="C111" s="4">
        <f>IF(C110-E110+H110-(C110*($C$12+$I$12))+(B110*($B$12))&lt;0,0,C110-E110+H110-(C110*($C$12+$I$12))+(B110*($B$12)))</f>
        <v>181.64712364139228</v>
      </c>
      <c r="D111" s="4">
        <f>$D$13*B111</f>
        <v>7.1234221653468568</v>
      </c>
      <c r="E111" s="4">
        <f>$E$13*C111</f>
        <v>27.24706854620884</v>
      </c>
      <c r="F111" s="4">
        <f t="shared" si="36"/>
        <v>453.85546232733867</v>
      </c>
      <c r="G111" s="4">
        <f>$F$13*F110</f>
        <v>12.584549148473489</v>
      </c>
      <c r="H111" s="4">
        <f>$G$13*F110</f>
        <v>20.974248580789151</v>
      </c>
      <c r="I111" s="4">
        <f>$H$13*B111+$I$13*C111</f>
        <v>10.685133248020284</v>
      </c>
      <c r="J111" s="4">
        <f t="shared" si="37"/>
        <v>26.899892892018038</v>
      </c>
      <c r="K111" s="32">
        <f t="shared" si="35"/>
        <v>0.10637357556229636</v>
      </c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</row>
    <row r="112" spans="1:24" x14ac:dyDescent="0.25">
      <c r="A112" s="99"/>
      <c r="B112" s="4">
        <f>IF(B111-D111+G111-(B111*($B$13+$H$13))+(C111*($C$13))&lt;0,0,B111-D111+G111-(B111*($B$13+$H$13))+(C111*($C$13)))</f>
        <v>63.517003473208263</v>
      </c>
      <c r="C112" s="4">
        <f>IF(C111-E111+H111-(C111*($C$13+$I$13))+(B111*($B$13))&lt;0,0,C111-E111+H111-(C111*($C$13+$I$13))+(B111*($B$13)))</f>
        <v>177.86751559133924</v>
      </c>
      <c r="D112" s="4">
        <f>$D$14*B112</f>
        <v>6.3517003473208264</v>
      </c>
      <c r="E112" s="4">
        <f>$E$14*C112</f>
        <v>26.680127338700885</v>
      </c>
      <c r="F112" s="4">
        <f t="shared" si="36"/>
        <v>486.88729001336037</v>
      </c>
      <c r="G112" s="4">
        <f>$F$14*F111</f>
        <v>13.61566386982016</v>
      </c>
      <c r="H112" s="4">
        <f>$G$14*F111</f>
        <v>22.692773116366936</v>
      </c>
      <c r="I112" s="4">
        <f>$H$14*B112+$I$14*C112</f>
        <v>14.863575988721415</v>
      </c>
      <c r="J112" s="4">
        <f t="shared" si="37"/>
        <v>41.763468880739453</v>
      </c>
      <c r="K112" s="32">
        <f t="shared" si="35"/>
        <v>0.17301635184637371</v>
      </c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</row>
    <row r="113" spans="1:24" x14ac:dyDescent="0.25">
      <c r="A113" s="83"/>
      <c r="B113" s="4">
        <f>IF(B112-D112+G112-(B112*($B$13+$H$13))+(C112*($C$13))&lt;0,0,B112-D112+G112-(B112*($B$13+$H$13))+(C112*($C$13)))</f>
        <v>60.62023702662988</v>
      </c>
      <c r="C113" s="4">
        <f>IF(C112-E112+H112-(C112*($C$14+$I$14))+(B112*($B$14))&lt;0,0,C112-E112+H112-(C112*($C$14+$I$14))+(B112*($B$14)))</f>
        <v>169.81248538409366</v>
      </c>
      <c r="D113" s="4">
        <f>$D$15*B113</f>
        <v>6.0620237026629882</v>
      </c>
      <c r="E113" s="4">
        <f>$E$15*C113</f>
        <v>25.471872807614048</v>
      </c>
      <c r="F113" s="4">
        <f t="shared" si="36"/>
        <v>518.4211865236374</v>
      </c>
      <c r="G113" s="4">
        <f>$F$15*F112</f>
        <v>14.60661870040081</v>
      </c>
      <c r="H113" s="4">
        <f>$G$15*F112</f>
        <v>24.344364500668021</v>
      </c>
      <c r="I113" s="4">
        <f>$H$15*B113+$I$15*C113</f>
        <v>15.885534969358227</v>
      </c>
      <c r="J113" s="4">
        <f t="shared" si="37"/>
        <v>57.649003850097678</v>
      </c>
      <c r="K113" s="32">
        <f t="shared" si="35"/>
        <v>0.25017715907267729</v>
      </c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</row>
    <row r="114" spans="1:24" x14ac:dyDescent="0.25">
      <c r="A114" s="83"/>
      <c r="B114" s="60"/>
      <c r="C114" s="60"/>
      <c r="D114" s="60"/>
      <c r="E114" s="60"/>
      <c r="F114" s="60"/>
      <c r="G114" s="60"/>
      <c r="H114" s="60"/>
      <c r="I114" s="60"/>
      <c r="J114" s="60"/>
      <c r="K114" s="91"/>
      <c r="L114" s="9" t="s">
        <v>115</v>
      </c>
      <c r="M114" s="8"/>
      <c r="N114" s="9" t="str">
        <f>"Coninuing Since  "&amp;$A$18</f>
        <v>Coninuing Since  New Fall 2022</v>
      </c>
      <c r="O114" s="8"/>
      <c r="P114" s="8"/>
      <c r="Q114" s="11" t="s">
        <v>116</v>
      </c>
      <c r="R114" s="13"/>
      <c r="S114" s="13"/>
      <c r="T114" s="13"/>
      <c r="U114" s="13"/>
      <c r="V114" s="13"/>
      <c r="W114" s="13"/>
      <c r="X114" s="13"/>
    </row>
    <row r="115" spans="1:24" x14ac:dyDescent="0.25">
      <c r="A115" s="11" t="str">
        <f>$A$17</f>
        <v>Semester</v>
      </c>
      <c r="B115" s="12" t="s">
        <v>71</v>
      </c>
      <c r="C115" s="12" t="s">
        <v>72</v>
      </c>
      <c r="D115" s="12" t="s">
        <v>82</v>
      </c>
      <c r="E115" s="12" t="s">
        <v>81</v>
      </c>
      <c r="F115" s="12" t="s">
        <v>73</v>
      </c>
      <c r="G115" s="12" t="s">
        <v>83</v>
      </c>
      <c r="H115" s="12" t="s">
        <v>84</v>
      </c>
      <c r="I115" s="12" t="s">
        <v>70</v>
      </c>
      <c r="J115" s="12" t="s">
        <v>74</v>
      </c>
      <c r="K115" s="12" t="s">
        <v>85</v>
      </c>
      <c r="L115" s="12" t="s">
        <v>89</v>
      </c>
      <c r="M115" s="12" t="s">
        <v>90</v>
      </c>
      <c r="N115" s="12" t="s">
        <v>89</v>
      </c>
      <c r="O115" s="12" t="s">
        <v>90</v>
      </c>
      <c r="P115" s="12" t="s">
        <v>89</v>
      </c>
      <c r="Q115" s="12" t="s">
        <v>90</v>
      </c>
      <c r="R115" s="13"/>
      <c r="S115" s="13"/>
      <c r="T115" s="13"/>
      <c r="U115" s="13"/>
      <c r="V115" s="13"/>
      <c r="W115" s="13"/>
      <c r="X115" s="13"/>
    </row>
    <row r="116" spans="1:24" x14ac:dyDescent="0.25">
      <c r="A116" s="11" t="str">
        <f>"New "&amp;$A$25</f>
        <v>New Spring 2025</v>
      </c>
      <c r="B116" s="92">
        <f>Enrollment!E4</f>
        <v>180.65279999999998</v>
      </c>
      <c r="C116" s="92">
        <f>Enrollment!E8</f>
        <v>45.163199999999996</v>
      </c>
      <c r="D116" s="4">
        <f>$D$4*B116</f>
        <v>18.065279999999998</v>
      </c>
      <c r="E116" s="4">
        <f>$E$4*C116</f>
        <v>6.7744799999999996</v>
      </c>
      <c r="F116" s="4">
        <f>D116+E116</f>
        <v>24.839759999999998</v>
      </c>
      <c r="G116" s="4">
        <v>0</v>
      </c>
      <c r="H116" s="4">
        <v>0</v>
      </c>
      <c r="I116" s="4">
        <f>$H$4*B116+$I$4*C116</f>
        <v>0</v>
      </c>
      <c r="J116" s="4">
        <f>I116</f>
        <v>0</v>
      </c>
      <c r="K116" s="32">
        <f>J116/(B116+C116)</f>
        <v>0</v>
      </c>
      <c r="L116" s="4">
        <f>L183</f>
        <v>336.36060851717571</v>
      </c>
      <c r="M116" s="4">
        <f>M183</f>
        <v>846.47605173201123</v>
      </c>
      <c r="N116" s="6">
        <f>B103+B91+B78+B65+B52+B39+B26</f>
        <v>852.04346541836651</v>
      </c>
      <c r="O116" s="6">
        <f>C103+C91+C78+C65+C52+C39+C26</f>
        <v>1030.5622731867047</v>
      </c>
      <c r="P116" s="6">
        <f>L116+N116</f>
        <v>1188.4040739355423</v>
      </c>
      <c r="Q116" s="6">
        <f>M116+O116</f>
        <v>1877.0383249187159</v>
      </c>
      <c r="R116" s="13"/>
      <c r="S116" s="13"/>
      <c r="T116" s="13"/>
      <c r="U116" s="13"/>
      <c r="V116" s="13"/>
      <c r="W116" s="13"/>
      <c r="X116" s="13"/>
    </row>
    <row r="117" spans="1:24" x14ac:dyDescent="0.25">
      <c r="A117" s="11" t="str">
        <f>$A$26</f>
        <v>Fall 2026</v>
      </c>
      <c r="B117" s="4">
        <f>IF(B116-D116+G116-(B116*($B$4+$H$4))+(C116*($C$4))&lt;0,0,B116-D116+G116-(B116*($B$4+$H$4))+(C116*($C$4)))</f>
        <v>130.97327999999999</v>
      </c>
      <c r="C117" s="4">
        <f>IF(C116-E116+H116-(C116*($C$4+$I$4))+(B116*($B$4))&lt;0,0,C116-E116+H116-(C116*($C$4+$I$4))+(B116*($B$4)))</f>
        <v>70.002960000000002</v>
      </c>
      <c r="D117" s="4">
        <f>$D$5*B117</f>
        <v>13.097327999999999</v>
      </c>
      <c r="E117" s="4">
        <f>$E$5*C117</f>
        <v>10.500444</v>
      </c>
      <c r="F117" s="4">
        <f>F116+D117+E117</f>
        <v>48.437531999999997</v>
      </c>
      <c r="G117" s="4">
        <f>$F$5*F116</f>
        <v>0.2483976</v>
      </c>
      <c r="H117" s="4">
        <f>$G$5*F116</f>
        <v>0.49679519999999999</v>
      </c>
      <c r="I117" s="4">
        <f>$H$5*B117+$I$5*C117</f>
        <v>0</v>
      </c>
      <c r="J117" s="4">
        <f>J116+I117</f>
        <v>0</v>
      </c>
      <c r="K117" s="32">
        <f t="shared" ref="K117:K127" si="38">J117/(B117+C117)</f>
        <v>0</v>
      </c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</row>
    <row r="118" spans="1:24" x14ac:dyDescent="0.25">
      <c r="A118" s="11" t="str">
        <f>$A$27</f>
        <v>Spring 2026</v>
      </c>
      <c r="B118" s="4">
        <f>IF(B117-D117+G117-(B117*($B$5+$H$5))+(C117*($C$5))&lt;0,0,B117-D117+G117-(B117*($B$5+$H$5))+(C117*($C$5)))</f>
        <v>97.620256799999993</v>
      </c>
      <c r="C118" s="4">
        <f>IF(C117-E117+H117-(C117*($C$5+$I$5))+(B117*($B$5))&lt;0,0,C117-E117+H117-(C117*($C$5+$I$5))+(B117*($B$5)))</f>
        <v>80.503404000000003</v>
      </c>
      <c r="D118" s="4">
        <f>$D$6*B118</f>
        <v>9.7620256800000007</v>
      </c>
      <c r="E118" s="4">
        <f>$E$6*C118</f>
        <v>12.075510599999999</v>
      </c>
      <c r="F118" s="4">
        <f t="shared" ref="F118:F127" si="39">F117+D118+E118</f>
        <v>70.275068279999999</v>
      </c>
      <c r="G118" s="4">
        <f>$F$6*F117</f>
        <v>0.96875064</v>
      </c>
      <c r="H118" s="4">
        <f>$G$6*F117</f>
        <v>1.4531259599999999</v>
      </c>
      <c r="I118" s="4">
        <f>$H$6*B118+$I$6*C118</f>
        <v>0</v>
      </c>
      <c r="J118" s="4">
        <f t="shared" ref="J118:J127" si="40">J117+I118</f>
        <v>0</v>
      </c>
      <c r="K118" s="32">
        <f t="shared" si="38"/>
        <v>0</v>
      </c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</row>
    <row r="119" spans="1:24" x14ac:dyDescent="0.25">
      <c r="A119" s="11" t="str">
        <f>$A$28</f>
        <v>Fall 2027</v>
      </c>
      <c r="B119" s="4">
        <f>IF(B118-D118+G118-(B118*($B$6+$H$6))+(C118*($C$6))&lt;0,0,B118-D118+G118-(B118*($B$6+$H$6))+(C118*($C$6)))</f>
        <v>75.400865663999994</v>
      </c>
      <c r="C119" s="4">
        <f>IF(C118-E118+H118-(C118*($C$6+$I$6))+(B118*($B$6))&lt;0,0,C118-E118+H118-(C118*($C$6+$I$6))+(B118*($B$6)))</f>
        <v>83.307135455999997</v>
      </c>
      <c r="D119" s="4">
        <f>$D$7*B119</f>
        <v>7.5400865663999994</v>
      </c>
      <c r="E119" s="4">
        <f>$E$7*C119</f>
        <v>12.496070318399999</v>
      </c>
      <c r="F119" s="4">
        <f t="shared" si="39"/>
        <v>90.311225164799993</v>
      </c>
      <c r="G119" s="4">
        <f>$F$7*F118</f>
        <v>2.1082520483999998</v>
      </c>
      <c r="H119" s="4">
        <f>$G$7*F118</f>
        <v>2.8110027311999999</v>
      </c>
      <c r="I119" s="4">
        <f>$H$7*B119+$I$7*C119</f>
        <v>0</v>
      </c>
      <c r="J119" s="4">
        <f t="shared" si="40"/>
        <v>0</v>
      </c>
      <c r="K119" s="32">
        <f t="shared" si="38"/>
        <v>0</v>
      </c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</row>
    <row r="120" spans="1:24" x14ac:dyDescent="0.25">
      <c r="A120" s="11" t="str">
        <f>$A$29</f>
        <v>Spring 2027</v>
      </c>
      <c r="B120" s="4">
        <f>IF(B119-D119+G119-(B119*($B$7+$H$7))+(C119*($C$7))&lt;0,0,B119-D119+G119-(B119*($B$7+$H$7))+(C119*($C$7)))</f>
        <v>60.957545588879988</v>
      </c>
      <c r="C120" s="4">
        <f>IF(C119-E119+H119-(C119*($C$7+$I$7))+(B119*($B$7))&lt;0,0,C119-E119+H119-(C119*($C$7+$I$7))+(B119*($B$7)))</f>
        <v>82.633553425919999</v>
      </c>
      <c r="D120" s="4">
        <f>$D$8*B120</f>
        <v>6.0957545588879993</v>
      </c>
      <c r="E120" s="4">
        <f>$E$8*C120</f>
        <v>12.395033013888</v>
      </c>
      <c r="F120" s="4">
        <f t="shared" si="39"/>
        <v>108.80201273757599</v>
      </c>
      <c r="G120" s="4">
        <f>$F$8*F119</f>
        <v>2.7093367549439997</v>
      </c>
      <c r="H120" s="4">
        <f>$G$8*F119</f>
        <v>4.51556125824</v>
      </c>
      <c r="I120" s="4">
        <f>$H$8*B120+$I$8*C120</f>
        <v>0</v>
      </c>
      <c r="J120" s="4">
        <f t="shared" si="40"/>
        <v>0</v>
      </c>
      <c r="K120" s="32">
        <f t="shared" si="38"/>
        <v>0</v>
      </c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</row>
    <row r="121" spans="1:24" x14ac:dyDescent="0.25">
      <c r="A121" s="99"/>
      <c r="B121" s="4">
        <f>IF(B120-D120+G120-(B120*($B$8+$H$8))+(C120*($C$8))&lt;0,0,B120-D120+G120-(B120*($B$8+$H$8))+(C120*($C$8)))</f>
        <v>51.204672186196795</v>
      </c>
      <c r="C121" s="4">
        <f>IF(C120-E120+H120-(C120*($C$8+$I$8))+(B120*($B$8))&lt;0,0,C120-E120+H120-(C120*($C$8+$I$8))+(B120*($B$8)))</f>
        <v>81.120537269011194</v>
      </c>
      <c r="D121" s="4">
        <f>$D$9*B121</f>
        <v>5.1204672186196802</v>
      </c>
      <c r="E121" s="4">
        <f>$E$9*C121</f>
        <v>12.168080590351678</v>
      </c>
      <c r="F121" s="4">
        <f t="shared" si="39"/>
        <v>126.09056054654735</v>
      </c>
      <c r="G121" s="4">
        <f>$F$9*F120</f>
        <v>3.2640603821272798</v>
      </c>
      <c r="H121" s="4">
        <f>$G$9*F120</f>
        <v>5.4401006368787996</v>
      </c>
      <c r="I121" s="4">
        <f>$H$9*B121+$I$9*C121</f>
        <v>0</v>
      </c>
      <c r="J121" s="4">
        <f t="shared" si="40"/>
        <v>0</v>
      </c>
      <c r="K121" s="32">
        <f t="shared" si="38"/>
        <v>0</v>
      </c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</row>
    <row r="122" spans="1:24" x14ac:dyDescent="0.25">
      <c r="A122" s="99"/>
      <c r="B122" s="4">
        <f>IF(B121-D121+G121-(B121*($B$9+$H$9))+(C121*($C$9))&lt;0,0,B121-D121+G121-(B121*($B$9+$H$9))+(C121*($C$9)))</f>
        <v>44.659151030056307</v>
      </c>
      <c r="C122" s="4">
        <f>IF(C121-E121+H121-(C121*($C$9+$I$9))+(B121*($B$9))&lt;0,0,C121-E121+H121-(C121*($C$9+$I$9))+(B121*($B$9)))</f>
        <v>79.081671635186382</v>
      </c>
      <c r="D122" s="4">
        <f>$D$10*B122</f>
        <v>4.4659151030056305</v>
      </c>
      <c r="E122" s="4">
        <f>$E$10*C122</f>
        <v>11.862250745277956</v>
      </c>
      <c r="F122" s="4">
        <f t="shared" si="39"/>
        <v>142.41872639483094</v>
      </c>
      <c r="G122" s="4">
        <f>$F$10*F121</f>
        <v>3.7827168163964204</v>
      </c>
      <c r="H122" s="4">
        <f>$G$10*F121</f>
        <v>6.3045280273273683</v>
      </c>
      <c r="I122" s="4">
        <f>$H$10*B122+$I$10*C122</f>
        <v>0.4465915103005631</v>
      </c>
      <c r="J122" s="4">
        <f t="shared" si="40"/>
        <v>0.4465915103005631</v>
      </c>
      <c r="K122" s="32">
        <f t="shared" si="38"/>
        <v>3.6090879362321009E-3</v>
      </c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</row>
    <row r="123" spans="1:24" x14ac:dyDescent="0.25">
      <c r="A123" s="99"/>
      <c r="B123" s="4">
        <f>IF(B122-D122+G122-(B122*($B$10+$H$10))+(C122*($C$10))&lt;0,0,B122-D122+G122-(B122*($B$10+$H$10))+(C122*($C$10)))</f>
        <v>39.826149128850538</v>
      </c>
      <c r="C123" s="4">
        <f>IF(C122-E122+H122-(C122*($C$10+$I$10))+(B122*($B$10))&lt;0,0,C122-E122+H122-(C122*($C$10+$I$10))+(B122*($B$10)))</f>
        <v>77.227161021531785</v>
      </c>
      <c r="D123" s="4">
        <f>$D$11*B123</f>
        <v>3.9826149128850541</v>
      </c>
      <c r="E123" s="4">
        <f>$E$11*C123</f>
        <v>11.584074153229768</v>
      </c>
      <c r="F123" s="4">
        <f t="shared" si="39"/>
        <v>157.98541546094577</v>
      </c>
      <c r="G123" s="4">
        <f>$F$11*F122</f>
        <v>4.2725617918449279</v>
      </c>
      <c r="H123" s="4">
        <f>$G$11*F122</f>
        <v>7.1209363197415474</v>
      </c>
      <c r="I123" s="4">
        <f>$H$11*B123+$I$11*C123</f>
        <v>0.79652298257701082</v>
      </c>
      <c r="J123" s="4">
        <f t="shared" si="40"/>
        <v>1.2431144928775739</v>
      </c>
      <c r="K123" s="32">
        <f t="shared" si="38"/>
        <v>1.0620071241731678E-2</v>
      </c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</row>
    <row r="124" spans="1:24" x14ac:dyDescent="0.25">
      <c r="A124" s="99"/>
      <c r="B124" s="4">
        <f>IF(B123-D123+G123-(B123*($B$11+$H$11))+(C123*($C$11))&lt;0,0,B123-D123+G123-(B123*($B$11+$H$11))+(C123*($C$11)))</f>
        <v>36.289228862596936</v>
      </c>
      <c r="C124" s="4">
        <f>IF(C123-E123+H123-(C123*($C$11+$I$11))+(B123*($B$11))&lt;0,0,C123-E123+H123-(C123*($C$11+$I$11))+(B123*($B$11)))</f>
        <v>75.794367350680034</v>
      </c>
      <c r="D124" s="4">
        <f>$D$12*B124</f>
        <v>3.6289228862596938</v>
      </c>
      <c r="E124" s="4">
        <f>$E$12*C124</f>
        <v>11.369155102602004</v>
      </c>
      <c r="F124" s="4">
        <f t="shared" si="39"/>
        <v>172.98349344980747</v>
      </c>
      <c r="G124" s="4">
        <f>$F$12*F123</f>
        <v>4.7395624638283733</v>
      </c>
      <c r="H124" s="4">
        <f>$G$12*F123</f>
        <v>7.8992707730472889</v>
      </c>
      <c r="I124" s="4">
        <f>$H$12*B124+$I$12*C124</f>
        <v>5.4433843293895405</v>
      </c>
      <c r="J124" s="4">
        <f t="shared" si="40"/>
        <v>6.6864988222671142</v>
      </c>
      <c r="K124" s="32">
        <f t="shared" si="38"/>
        <v>5.9656355150701876E-2</v>
      </c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</row>
    <row r="125" spans="1:24" x14ac:dyDescent="0.25">
      <c r="A125" s="99"/>
      <c r="B125" s="4">
        <f>IF(B124-D124+G124-(B124*($B$12+$H$12))+(C124*($C$12))&lt;0,0,B124-D124+G124-(B124*($B$12+$H$12))+(C124*($C$12)))</f>
        <v>29.374936764316931</v>
      </c>
      <c r="C125" s="4">
        <f>IF(C124-E124+H124-(C124*($C$12+$I$12))+(B124*($B$12))&lt;0,0,C124-E124+H124-(C124*($C$12+$I$12))+(B124*($B$12)))</f>
        <v>74.906030367584464</v>
      </c>
      <c r="D125" s="4">
        <f>$D$13*B125</f>
        <v>2.9374936764316932</v>
      </c>
      <c r="E125" s="4">
        <f>$E$13*C125</f>
        <v>11.235904555137669</v>
      </c>
      <c r="F125" s="4">
        <f t="shared" si="39"/>
        <v>187.15689168137683</v>
      </c>
      <c r="G125" s="4">
        <f>$F$13*F124</f>
        <v>5.1895048034942235</v>
      </c>
      <c r="H125" s="4">
        <f>$G$13*F124</f>
        <v>8.6491746724903731</v>
      </c>
      <c r="I125" s="4">
        <f>$H$13*B125+$I$13*C125</f>
        <v>4.4062405146475392</v>
      </c>
      <c r="J125" s="4">
        <f t="shared" si="40"/>
        <v>11.092739336914654</v>
      </c>
      <c r="K125" s="32">
        <f t="shared" si="38"/>
        <v>0.10637357556229635</v>
      </c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</row>
    <row r="126" spans="1:24" x14ac:dyDescent="0.25">
      <c r="A126" s="99"/>
      <c r="B126" s="4">
        <f>IF(B125-D125+G125-(B125*($B$13+$H$13))+(C125*($C$13))&lt;0,0,B125-D125+G125-(B125*($B$13+$H$13))+(C125*($C$13)))</f>
        <v>26.192578751838461</v>
      </c>
      <c r="C126" s="4">
        <f>IF(C125-E125+H125-(C125*($C$13+$I$13))+(B125*($B$13))&lt;0,0,C125-E125+H125-(C125*($C$13+$I$13))+(B125*($B$13)))</f>
        <v>73.347429109830642</v>
      </c>
      <c r="D126" s="4">
        <f>$D$14*B126</f>
        <v>2.6192578751838465</v>
      </c>
      <c r="E126" s="4">
        <f>$E$14*C126</f>
        <v>11.002114366474595</v>
      </c>
      <c r="F126" s="4">
        <f t="shared" si="39"/>
        <v>200.77826392303527</v>
      </c>
      <c r="G126" s="4">
        <f>$F$14*F125</f>
        <v>5.6147067504413046</v>
      </c>
      <c r="H126" s="4">
        <f>$G$14*F125</f>
        <v>9.3578445840688413</v>
      </c>
      <c r="I126" s="4">
        <f>$H$14*B126+$I$14*C126</f>
        <v>6.1293096860706875</v>
      </c>
      <c r="J126" s="4">
        <f t="shared" si="40"/>
        <v>17.222049022985342</v>
      </c>
      <c r="K126" s="32">
        <f t="shared" si="38"/>
        <v>0.17301635184637368</v>
      </c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</row>
    <row r="127" spans="1:24" x14ac:dyDescent="0.25">
      <c r="A127" s="99"/>
      <c r="B127" s="4">
        <f>IF(B126-D126+G126-(B126*($B$13+$H$13))+(C126*($C$13))&lt;0,0,B126-D126+G126-(B126*($B$13+$H$13))+(C126*($C$13)))</f>
        <v>24.99803588727006</v>
      </c>
      <c r="C127" s="4">
        <f>IF(C126-E126+H126-(C126*($C$14+$I$14))+(B126*($B$14))&lt;0,0,C126-E126+H126-(C126*($C$14+$I$14))+(B126*($B$14)))</f>
        <v>70.025767168698437</v>
      </c>
      <c r="D127" s="4">
        <f>$D$15*B127</f>
        <v>2.4998035887270063</v>
      </c>
      <c r="E127" s="4">
        <f>$E$15*C127</f>
        <v>10.503865075304764</v>
      </c>
      <c r="F127" s="4">
        <f t="shared" si="39"/>
        <v>213.78193258706705</v>
      </c>
      <c r="G127" s="4">
        <f>$F$15*F126</f>
        <v>6.0233479176910576</v>
      </c>
      <c r="H127" s="4">
        <f>$G$15*F126</f>
        <v>10.038913196151764</v>
      </c>
      <c r="I127" s="4">
        <f>$H$15*B127+$I$15*C127</f>
        <v>6.5507360698384467</v>
      </c>
      <c r="J127" s="4">
        <f t="shared" si="40"/>
        <v>23.772785092823788</v>
      </c>
      <c r="K127" s="32">
        <f t="shared" si="38"/>
        <v>0.25017715907267729</v>
      </c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</row>
    <row r="128" spans="1:24" x14ac:dyDescent="0.25">
      <c r="A128" s="8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9" t="s">
        <v>115</v>
      </c>
      <c r="M128" s="8"/>
      <c r="N128" s="9" t="str">
        <f>"Coninuing Since  "&amp;$A$18</f>
        <v>Coninuing Since  New Fall 2022</v>
      </c>
      <c r="O128" s="8"/>
      <c r="P128" s="8"/>
      <c r="Q128" s="11" t="s">
        <v>116</v>
      </c>
      <c r="R128" s="13"/>
      <c r="S128" s="13"/>
      <c r="T128" s="13"/>
      <c r="U128" s="13"/>
      <c r="V128" s="13"/>
      <c r="W128" s="13"/>
      <c r="X128" s="13"/>
    </row>
    <row r="129" spans="1:24" x14ac:dyDescent="0.25">
      <c r="A129" s="11" t="str">
        <f>$A$17</f>
        <v>Semester</v>
      </c>
      <c r="B129" s="12" t="s">
        <v>71</v>
      </c>
      <c r="C129" s="12" t="s">
        <v>72</v>
      </c>
      <c r="D129" s="12" t="s">
        <v>82</v>
      </c>
      <c r="E129" s="12" t="s">
        <v>81</v>
      </c>
      <c r="F129" s="12" t="s">
        <v>73</v>
      </c>
      <c r="G129" s="12" t="s">
        <v>83</v>
      </c>
      <c r="H129" s="12" t="s">
        <v>84</v>
      </c>
      <c r="I129" s="12" t="s">
        <v>70</v>
      </c>
      <c r="J129" s="12" t="s">
        <v>74</v>
      </c>
      <c r="K129" s="12" t="s">
        <v>85</v>
      </c>
      <c r="L129" s="12" t="s">
        <v>89</v>
      </c>
      <c r="M129" s="12" t="s">
        <v>90</v>
      </c>
      <c r="N129" s="12" t="s">
        <v>89</v>
      </c>
      <c r="O129" s="12" t="s">
        <v>90</v>
      </c>
      <c r="P129" s="12" t="s">
        <v>89</v>
      </c>
      <c r="Q129" s="12" t="s">
        <v>90</v>
      </c>
      <c r="R129" s="13"/>
      <c r="S129" s="13"/>
      <c r="T129" s="13"/>
      <c r="U129" s="13"/>
      <c r="V129" s="13"/>
      <c r="W129" s="13"/>
      <c r="X129" s="13"/>
    </row>
    <row r="130" spans="1:24" x14ac:dyDescent="0.25">
      <c r="A130" s="11" t="str">
        <f>"New "&amp;$A$26</f>
        <v>New Fall 2026</v>
      </c>
      <c r="B130" s="92">
        <f>Enrollment!G3</f>
        <v>424.94054879999993</v>
      </c>
      <c r="C130" s="92">
        <f>Enrollment!G7</f>
        <v>106.23513719999998</v>
      </c>
      <c r="D130" s="4">
        <f>$D$4*B130</f>
        <v>42.494054879999993</v>
      </c>
      <c r="E130" s="4">
        <f>$E$4*C130</f>
        <v>15.935270579999997</v>
      </c>
      <c r="F130" s="4">
        <f>D130+E130</f>
        <v>58.429325459999987</v>
      </c>
      <c r="G130" s="4">
        <v>0</v>
      </c>
      <c r="H130" s="4">
        <v>0</v>
      </c>
      <c r="I130" s="4">
        <f>$H$4*B130+$I$4*C130</f>
        <v>0</v>
      </c>
      <c r="J130" s="4">
        <f>I130</f>
        <v>0</v>
      </c>
      <c r="K130" s="32">
        <f>J130/(B130+C130)</f>
        <v>0</v>
      </c>
      <c r="L130" s="4">
        <f>L184</f>
        <v>231.90388817544613</v>
      </c>
      <c r="M130" s="4">
        <f>M184</f>
        <v>628.30577691560302</v>
      </c>
      <c r="N130" s="6">
        <f>B117+B104+B92+B79+B66+B53+B40+B27</f>
        <v>821.97544313171545</v>
      </c>
      <c r="O130" s="6">
        <f>C117+C104+C92+C79+C66+C53+C40+C27</f>
        <v>1110.8079685446874</v>
      </c>
      <c r="P130" s="6">
        <f>L130+N130</f>
        <v>1053.8793313071615</v>
      </c>
      <c r="Q130" s="6">
        <f>M130+O130</f>
        <v>1739.1137454602904</v>
      </c>
      <c r="R130" s="13"/>
      <c r="S130" s="13"/>
      <c r="T130" s="13"/>
      <c r="U130" s="13"/>
      <c r="V130" s="13"/>
      <c r="W130" s="13"/>
      <c r="X130" s="13"/>
    </row>
    <row r="131" spans="1:24" x14ac:dyDescent="0.25">
      <c r="A131" s="11" t="str">
        <f>$A$27</f>
        <v>Spring 2026</v>
      </c>
      <c r="B131" s="4">
        <f>IF(B130-D130+G130-(B130*($B$4+$H$4))+(C130*($C$4))&lt;0,0,B130-D130+G130-(B130*($B$4+$H$4))+(C130*($C$4)))</f>
        <v>308.08189787999999</v>
      </c>
      <c r="C131" s="4">
        <f>IF(C130-E130+H130-(C130*($C$4+$I$4))+(B130*($B$4))&lt;0,0,C130-E130+H130-(C130*($C$4+$I$4))+(B130*($B$4)))</f>
        <v>164.66446265999997</v>
      </c>
      <c r="D131" s="4">
        <f>$D$5*B131</f>
        <v>30.808189788</v>
      </c>
      <c r="E131" s="4">
        <f>$E$5*C131</f>
        <v>24.699669398999994</v>
      </c>
      <c r="F131" s="4">
        <f>F130+D131+E131</f>
        <v>113.93718464699998</v>
      </c>
      <c r="G131" s="4">
        <f>$F$5*F130</f>
        <v>0.58429325459999992</v>
      </c>
      <c r="H131" s="4">
        <f>$G$5*F130</f>
        <v>1.1685865091999998</v>
      </c>
      <c r="I131" s="4">
        <f>$H$5*B131+$I$5*C131</f>
        <v>0</v>
      </c>
      <c r="J131" s="4">
        <f>J130+I131</f>
        <v>0</v>
      </c>
      <c r="K131" s="32">
        <f t="shared" ref="K131:K141" si="41">J131/(B131+C131)</f>
        <v>0</v>
      </c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</row>
    <row r="132" spans="1:24" x14ac:dyDescent="0.25">
      <c r="A132" s="11" t="str">
        <f>"New "&amp;$A$28</f>
        <v>New Fall 2027</v>
      </c>
      <c r="B132" s="4">
        <f>IF(B131-D131+G131-(B131*($B$5+$H$5))+(C131*($C$5))&lt;0,0,B131-D131+G131-(B131*($B$5+$H$5))+(C131*($C$5)))</f>
        <v>229.62724905780001</v>
      </c>
      <c r="C132" s="4">
        <f>IF(C131-E131+H131-(C131*($C$5+$I$5))+(B131*($B$5))&lt;0,0,C131-E131+H131-(C131*($C$5+$I$5))+(B131*($B$5)))</f>
        <v>189.36413205899999</v>
      </c>
      <c r="D132" s="4">
        <f>$D$6*B132</f>
        <v>22.962724905780004</v>
      </c>
      <c r="E132" s="4">
        <f>$E$6*C132</f>
        <v>28.404619808849997</v>
      </c>
      <c r="F132" s="4">
        <f t="shared" ref="F132:F141" si="42">F131+D132+E132</f>
        <v>165.30452936162996</v>
      </c>
      <c r="G132" s="4">
        <f>$F$6*F131</f>
        <v>2.2787436929399996</v>
      </c>
      <c r="H132" s="4">
        <f>$G$6*F131</f>
        <v>3.4181155394099991</v>
      </c>
      <c r="I132" s="4">
        <f>$H$6*B132+$I$6*C132</f>
        <v>0</v>
      </c>
      <c r="J132" s="4">
        <f t="shared" ref="J132:J141" si="43">J131+I132</f>
        <v>0</v>
      </c>
      <c r="K132" s="32">
        <f t="shared" si="41"/>
        <v>0</v>
      </c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</row>
    <row r="133" spans="1:24" x14ac:dyDescent="0.25">
      <c r="A133" s="11" t="str">
        <f>$A$29</f>
        <v>Spring 2027</v>
      </c>
      <c r="B133" s="4">
        <f>IF(B132-D132+G132-(B132*($B$6+$H$6))+(C132*($C$6))&lt;0,0,B132-D132+G132-(B132*($B$6+$H$6))+(C132*($C$6)))</f>
        <v>177.36168625814403</v>
      </c>
      <c r="C133" s="4">
        <f>IF(C132-E132+H132-(C132*($C$6+$I$6))+(B132*($B$6))&lt;0,0,C132-E132+H132-(C132*($C$6+$I$6))+(B132*($B$6)))</f>
        <v>195.95920937637598</v>
      </c>
      <c r="D133" s="4">
        <f>$D$7*B133</f>
        <v>17.736168625814404</v>
      </c>
      <c r="E133" s="4">
        <f>$E$7*C133</f>
        <v>29.393881406456394</v>
      </c>
      <c r="F133" s="4">
        <f t="shared" si="42"/>
        <v>212.43457939390075</v>
      </c>
      <c r="G133" s="4">
        <f>$F$7*F132</f>
        <v>4.9591358808488986</v>
      </c>
      <c r="H133" s="4">
        <f>$G$7*F132</f>
        <v>6.6121811744651984</v>
      </c>
      <c r="I133" s="4">
        <f>$H$7*B133+$I$7*C133</f>
        <v>0</v>
      </c>
      <c r="J133" s="4">
        <f t="shared" si="43"/>
        <v>0</v>
      </c>
      <c r="K133" s="32">
        <f t="shared" si="41"/>
        <v>0</v>
      </c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</row>
    <row r="134" spans="1:24" x14ac:dyDescent="0.25">
      <c r="A134" s="99"/>
      <c r="B134" s="4">
        <f>IF(B133-D133+G133-(B133*($B$7+$H$7))+(C133*($C$7))&lt;0,0,B133-D133+G133-(B133*($B$7+$H$7))+(C133*($C$7)))</f>
        <v>143.38738661144299</v>
      </c>
      <c r="C134" s="4">
        <f>IF(C133-E133+H133-(C133*($C$7+$I$7))+(B133*($B$7))&lt;0,0,C133-E133+H133-(C133*($C$7+$I$7))+(B133*($B$7)))</f>
        <v>194.37477604612033</v>
      </c>
      <c r="D134" s="4">
        <f>$D$8*B134</f>
        <v>14.3387386611443</v>
      </c>
      <c r="E134" s="4">
        <f>$E$8*C134</f>
        <v>29.156216406918048</v>
      </c>
      <c r="F134" s="4">
        <f t="shared" si="42"/>
        <v>255.9295344619631</v>
      </c>
      <c r="G134" s="4">
        <f>$F$8*F133</f>
        <v>6.3730373818170225</v>
      </c>
      <c r="H134" s="4">
        <f>$G$8*F133</f>
        <v>10.621728969695038</v>
      </c>
      <c r="I134" s="4">
        <f>$H$8*B134+$I$8*C134</f>
        <v>0</v>
      </c>
      <c r="J134" s="4">
        <f t="shared" si="43"/>
        <v>0</v>
      </c>
      <c r="K134" s="32">
        <f t="shared" si="41"/>
        <v>0</v>
      </c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</row>
    <row r="135" spans="1:24" x14ac:dyDescent="0.25">
      <c r="A135" s="99"/>
      <c r="B135" s="4">
        <f>IF(B134-D134+G134-(B134*($B$8+$H$8))+(C134*($C$8))&lt;0,0,B134-D134+G134-(B134*($B$8+$H$8))+(C134*($C$8)))</f>
        <v>120.44619014998145</v>
      </c>
      <c r="C135" s="4">
        <f>IF(C134-E134+H134-(C134*($C$8+$I$8))+(B134*($B$8))&lt;0,0,C134-E134+H134-(C134*($C$8+$I$8))+(B134*($B$8)))</f>
        <v>190.81578379103158</v>
      </c>
      <c r="D135" s="4">
        <f>$D$9*B135</f>
        <v>12.044619014998146</v>
      </c>
      <c r="E135" s="4">
        <f>$E$9*C135</f>
        <v>28.622367568654735</v>
      </c>
      <c r="F135" s="4">
        <f t="shared" si="42"/>
        <v>296.59652104561599</v>
      </c>
      <c r="G135" s="4">
        <f>$F$9*F134</f>
        <v>7.6778860338588926</v>
      </c>
      <c r="H135" s="4">
        <f>$G$9*F134</f>
        <v>12.796476723098156</v>
      </c>
      <c r="I135" s="4">
        <f>$H$9*B135+$I$9*C135</f>
        <v>0</v>
      </c>
      <c r="J135" s="4">
        <f t="shared" si="43"/>
        <v>0</v>
      </c>
      <c r="K135" s="32">
        <f t="shared" si="41"/>
        <v>0</v>
      </c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</row>
    <row r="136" spans="1:24" x14ac:dyDescent="0.25">
      <c r="A136" s="99"/>
      <c r="B136" s="4">
        <f>IF(B135-D135+G135-(B135*($B$9+$H$9))+(C135*($C$9))&lt;0,0,B135-D135+G135-(B135*($B$9+$H$9))+(C135*($C$9)))</f>
        <v>105.04948801044999</v>
      </c>
      <c r="C136" s="4">
        <f>IF(C135-E135+H135-(C135*($C$9+$I$9))+(B135*($B$9))&lt;0,0,C135-E135+H135-(C135*($C$9+$I$9))+(B135*($B$9)))</f>
        <v>186.01986210386721</v>
      </c>
      <c r="D136" s="4">
        <f>$D$10*B136</f>
        <v>10.504948801045</v>
      </c>
      <c r="E136" s="4">
        <f>$E$10*C136</f>
        <v>27.90297931558008</v>
      </c>
      <c r="F136" s="4">
        <f t="shared" si="42"/>
        <v>335.00444916224103</v>
      </c>
      <c r="G136" s="4">
        <f>$F$10*F135</f>
        <v>8.8978956313684794</v>
      </c>
      <c r="H136" s="4">
        <f>$G$10*F135</f>
        <v>14.829826052280801</v>
      </c>
      <c r="I136" s="4">
        <f>$H$10*B136+$I$10*C136</f>
        <v>1.0504948801045</v>
      </c>
      <c r="J136" s="4">
        <f t="shared" si="43"/>
        <v>1.0504948801045</v>
      </c>
      <c r="K136" s="32">
        <f t="shared" si="41"/>
        <v>3.6090879362321009E-3</v>
      </c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</row>
    <row r="137" spans="1:24" x14ac:dyDescent="0.25">
      <c r="A137" s="99"/>
      <c r="B137" s="4">
        <f>IF(B136-D136+G136-(B136*($B$10+$H$10))+(C136*($C$10))&lt;0,0,B136-D136+G136-(B136*($B$10+$H$10))+(C136*($C$10)))</f>
        <v>93.681059288338702</v>
      </c>
      <c r="C137" s="4">
        <f>IF(C136-E136+H136-(C136*($C$10+$I$10))+(B136*($B$10))&lt;0,0,C136-E136+H136-(C136*($C$10+$I$10))+(B136*($B$10)))</f>
        <v>181.65758951289823</v>
      </c>
      <c r="D137" s="4">
        <f>$D$11*B137</f>
        <v>9.3681059288338702</v>
      </c>
      <c r="E137" s="4">
        <f>$E$11*C137</f>
        <v>27.248638426934733</v>
      </c>
      <c r="F137" s="4">
        <f t="shared" si="42"/>
        <v>371.62119351800965</v>
      </c>
      <c r="G137" s="4">
        <f>$F$11*F136</f>
        <v>10.050133474867231</v>
      </c>
      <c r="H137" s="4">
        <f>$G$11*F136</f>
        <v>16.750222458112052</v>
      </c>
      <c r="I137" s="4">
        <f>$H$11*B137+$I$11*C137</f>
        <v>1.8736211857667742</v>
      </c>
      <c r="J137" s="4">
        <f t="shared" si="43"/>
        <v>2.9241160658712744</v>
      </c>
      <c r="K137" s="32">
        <f t="shared" si="41"/>
        <v>1.0620071241731678E-2</v>
      </c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</row>
    <row r="138" spans="1:24" x14ac:dyDescent="0.25">
      <c r="A138" s="99"/>
      <c r="B138" s="4">
        <f>IF(B137-D137+G137-(B137*($B$11+$H$11))+(C137*($C$11))&lt;0,0,B137-D137+G137-(B137*($B$11+$H$11))+(C137*($C$11)))</f>
        <v>85.361338592043666</v>
      </c>
      <c r="C138" s="4">
        <f>IF(C137-E137+H137-(C137*($C$11+$I$11))+(B137*($B$11))&lt;0,0,C137-E137+H137-(C137*($C$11+$I$11))+(B137*($B$11)))</f>
        <v>178.2873006006372</v>
      </c>
      <c r="D138" s="4">
        <f>$D$12*B138</f>
        <v>8.5361338592043676</v>
      </c>
      <c r="E138" s="4">
        <f>$E$12*C138</f>
        <v>26.743095090095579</v>
      </c>
      <c r="F138" s="4">
        <f t="shared" si="42"/>
        <v>406.90042246730957</v>
      </c>
      <c r="G138" s="4">
        <f>$F$12*F137</f>
        <v>11.148635805540289</v>
      </c>
      <c r="H138" s="4">
        <f>$G$12*F137</f>
        <v>18.581059675900484</v>
      </c>
      <c r="I138" s="4">
        <f>$H$12*B138+$I$12*C138</f>
        <v>12.804200788806549</v>
      </c>
      <c r="J138" s="4">
        <f t="shared" si="43"/>
        <v>15.728316854677823</v>
      </c>
      <c r="K138" s="32">
        <f t="shared" si="41"/>
        <v>5.9656355150701855E-2</v>
      </c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</row>
    <row r="139" spans="1:24" x14ac:dyDescent="0.25">
      <c r="A139" s="99"/>
      <c r="B139" s="4">
        <f>IF(B138-D138+G138-(B138*($B$12+$H$12))+(C138*($C$12))&lt;0,0,B138-D138+G138-(B138*($B$12+$H$12))+(C138*($C$12)))</f>
        <v>69.097195003864528</v>
      </c>
      <c r="C139" s="4">
        <f>IF(C138-E138+H138-(C138*($C$12+$I$12))+(B138*($B$12))&lt;0,0,C138-E138+H138-(C138*($C$12+$I$12))+(B138*($B$12)))</f>
        <v>176.19770993215062</v>
      </c>
      <c r="D139" s="4">
        <f>$D$13*B139</f>
        <v>6.9097195003864531</v>
      </c>
      <c r="E139" s="4">
        <f>$E$13*C139</f>
        <v>26.429656489822591</v>
      </c>
      <c r="F139" s="4">
        <f t="shared" si="42"/>
        <v>440.23979845751865</v>
      </c>
      <c r="G139" s="4">
        <f>$F$13*F138</f>
        <v>12.207012674019287</v>
      </c>
      <c r="H139" s="4">
        <f>$G$13*F138</f>
        <v>20.345021123365481</v>
      </c>
      <c r="I139" s="4">
        <f>$H$13*B139+$I$13*C139</f>
        <v>10.364579250579679</v>
      </c>
      <c r="J139" s="4">
        <f t="shared" si="43"/>
        <v>26.092896105257502</v>
      </c>
      <c r="K139" s="32">
        <f t="shared" si="41"/>
        <v>0.10637357556229633</v>
      </c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</row>
    <row r="140" spans="1:24" x14ac:dyDescent="0.25">
      <c r="A140" s="99"/>
      <c r="B140" s="4">
        <f>IF(B139-D139+G139-(B139*($B$13+$H$13))+(C139*($C$13))&lt;0,0,B139-D139+G139-(B139*($B$13+$H$13))+(C139*($C$13)))</f>
        <v>61.611493369012038</v>
      </c>
      <c r="C140" s="4">
        <f>IF(C139-E139+H139-(C139*($C$13+$I$13))+(B139*($B$13))&lt;0,0,C139-E139+H139-(C139*($C$13+$I$13))+(B139*($B$13)))</f>
        <v>172.53149012359916</v>
      </c>
      <c r="D140" s="4">
        <f>$D$14*B140</f>
        <v>6.1611493369012038</v>
      </c>
      <c r="E140" s="4">
        <f>$E$14*C140</f>
        <v>25.879723518539873</v>
      </c>
      <c r="F140" s="4">
        <f t="shared" si="42"/>
        <v>472.28067131295973</v>
      </c>
      <c r="G140" s="4">
        <f>$F$14*F139</f>
        <v>13.207193953725559</v>
      </c>
      <c r="H140" s="4">
        <f>$G$14*F139</f>
        <v>22.011989922875934</v>
      </c>
      <c r="I140" s="4">
        <f>$H$14*B140+$I$14*C140</f>
        <v>14.417668709059781</v>
      </c>
      <c r="J140" s="4">
        <f t="shared" si="43"/>
        <v>40.510564814317284</v>
      </c>
      <c r="K140" s="32">
        <f t="shared" si="41"/>
        <v>0.17301635184637368</v>
      </c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</row>
    <row r="141" spans="1:24" x14ac:dyDescent="0.25">
      <c r="A141" s="99"/>
      <c r="B141" s="4">
        <f>IF(B140-D140+G140-(B140*($B$13+$H$13))+(C140*($C$13))&lt;0,0,B140-D140+G140-(B140*($B$13+$H$13))+(C140*($C$13)))</f>
        <v>58.801629915831015</v>
      </c>
      <c r="C141" s="4">
        <f>IF(C140-E140+H140-(C140*($C$14+$I$14))+(B140*($B$14))&lt;0,0,C140-E140+H140-(C140*($C$14+$I$14))+(B140*($B$14)))</f>
        <v>164.71811082257096</v>
      </c>
      <c r="D141" s="4">
        <f>$D$15*B141</f>
        <v>5.8801629915831022</v>
      </c>
      <c r="E141" s="4">
        <f>$E$15*C141</f>
        <v>24.707716623385643</v>
      </c>
      <c r="F141" s="4">
        <f t="shared" si="42"/>
        <v>502.86855092792848</v>
      </c>
      <c r="G141" s="4">
        <f>$F$15*F140</f>
        <v>14.168420139388791</v>
      </c>
      <c r="H141" s="4">
        <f>$G$15*F140</f>
        <v>23.614033565647986</v>
      </c>
      <c r="I141" s="4">
        <f>$H$15*B141+$I$15*C141</f>
        <v>15.408968920277491</v>
      </c>
      <c r="J141" s="4">
        <f t="shared" si="43"/>
        <v>55.919533734594779</v>
      </c>
      <c r="K141" s="32">
        <f t="shared" si="41"/>
        <v>0.25017715907267729</v>
      </c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</row>
    <row r="142" spans="1:24" x14ac:dyDescent="0.25">
      <c r="A142" s="8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9" t="s">
        <v>115</v>
      </c>
      <c r="M142" s="8"/>
      <c r="N142" s="9" t="str">
        <f>"Coninuing Since  "&amp;$A$18</f>
        <v>Coninuing Since  New Fall 2022</v>
      </c>
      <c r="O142" s="8"/>
      <c r="P142" s="8"/>
      <c r="Q142" s="11" t="s">
        <v>116</v>
      </c>
      <c r="R142" s="13"/>
      <c r="S142" s="13"/>
      <c r="T142" s="13"/>
      <c r="U142" s="13"/>
      <c r="V142" s="13"/>
      <c r="W142" s="13"/>
      <c r="X142" s="13"/>
    </row>
    <row r="143" spans="1:24" x14ac:dyDescent="0.25">
      <c r="A143" s="11" t="str">
        <f>$A$17</f>
        <v>Semester</v>
      </c>
      <c r="B143" s="12" t="s">
        <v>71</v>
      </c>
      <c r="C143" s="12" t="s">
        <v>72</v>
      </c>
      <c r="D143" s="12" t="s">
        <v>82</v>
      </c>
      <c r="E143" s="12" t="s">
        <v>81</v>
      </c>
      <c r="F143" s="12" t="s">
        <v>73</v>
      </c>
      <c r="G143" s="12" t="s">
        <v>83</v>
      </c>
      <c r="H143" s="12" t="s">
        <v>84</v>
      </c>
      <c r="I143" s="12" t="s">
        <v>70</v>
      </c>
      <c r="J143" s="12" t="s">
        <v>74</v>
      </c>
      <c r="K143" s="12" t="s">
        <v>85</v>
      </c>
      <c r="L143" s="12" t="s">
        <v>89</v>
      </c>
      <c r="M143" s="12" t="s">
        <v>90</v>
      </c>
      <c r="N143" s="12" t="s">
        <v>89</v>
      </c>
      <c r="O143" s="12" t="s">
        <v>90</v>
      </c>
      <c r="P143" s="12" t="s">
        <v>89</v>
      </c>
      <c r="Q143" s="12" t="s">
        <v>90</v>
      </c>
      <c r="R143" s="13"/>
      <c r="S143" s="13"/>
      <c r="T143" s="13"/>
      <c r="U143" s="13"/>
      <c r="V143" s="13"/>
      <c r="W143" s="13"/>
      <c r="X143" s="13"/>
    </row>
    <row r="144" spans="1:24" x14ac:dyDescent="0.25">
      <c r="A144" s="11" t="str">
        <f>"New "&amp;$A$27</f>
        <v>New Spring 2026</v>
      </c>
      <c r="B144" s="92">
        <f>Enrollment!G4</f>
        <v>169.97621951999997</v>
      </c>
      <c r="C144" s="92">
        <f>Enrollment!G8</f>
        <v>42.494054879999993</v>
      </c>
      <c r="D144" s="4">
        <f>$D$4*B144</f>
        <v>16.997621951999999</v>
      </c>
      <c r="E144" s="4">
        <f>$E$4*C144</f>
        <v>6.3741082319999984</v>
      </c>
      <c r="F144" s="4">
        <f>D144+E144</f>
        <v>23.371730183999997</v>
      </c>
      <c r="G144" s="4">
        <v>0</v>
      </c>
      <c r="H144" s="4">
        <v>0</v>
      </c>
      <c r="I144" s="4">
        <f>$H$4*B144+$I$4*C144</f>
        <v>0</v>
      </c>
      <c r="J144" s="4">
        <f>I144</f>
        <v>0</v>
      </c>
      <c r="K144" s="32">
        <f>J144/(B144+C144)</f>
        <v>0</v>
      </c>
      <c r="L144" s="4">
        <f>L185</f>
        <v>147.34960992764258</v>
      </c>
      <c r="M144" s="4">
        <f>M185</f>
        <v>412.69253543169617</v>
      </c>
      <c r="N144" s="6">
        <f>B131+B118+B105+B93+B80+B67+B54+B41+StuFlow!B28</f>
        <v>986.80315163136333</v>
      </c>
      <c r="O144" s="6">
        <f>C131+C118+C105+C93+C80+C67+C54+C41+StuFlow!C28</f>
        <v>1275.4717234713621</v>
      </c>
      <c r="P144" s="6">
        <f>L144+N144</f>
        <v>1134.152761559006</v>
      </c>
      <c r="Q144" s="6">
        <f>M144+O144</f>
        <v>1688.1642589030582</v>
      </c>
      <c r="R144" s="13"/>
      <c r="S144" s="13"/>
      <c r="T144" s="13"/>
      <c r="U144" s="13"/>
      <c r="V144" s="13"/>
      <c r="W144" s="13"/>
      <c r="X144" s="13"/>
    </row>
    <row r="145" spans="1:24" x14ac:dyDescent="0.25">
      <c r="A145" s="11" t="str">
        <f>$A$28</f>
        <v>Fall 2027</v>
      </c>
      <c r="B145" s="4">
        <f>IF(B144-D144+G144-(B144*($B$4+$H$4))+(C144*($C$4))&lt;0,0,B144-D144+G144-(B144*($B$4+$H$4))+(C144*($C$4)))</f>
        <v>123.23275915199996</v>
      </c>
      <c r="C145" s="4">
        <f>IF(C144-E144+H144-(C144*($C$4+$I$4))+(B144*($B$4))&lt;0,0,C144-E144+H144-(C144*($C$4+$I$4))+(B144*($B$4)))</f>
        <v>65.865785063999994</v>
      </c>
      <c r="D145" s="4">
        <f>$D$5*B145</f>
        <v>12.323275915199996</v>
      </c>
      <c r="E145" s="4">
        <f>$E$5*C145</f>
        <v>9.879867759599998</v>
      </c>
      <c r="F145" s="4">
        <f>F144+D145+E145</f>
        <v>45.57487385879999</v>
      </c>
      <c r="G145" s="4">
        <f>$F$5*F144</f>
        <v>0.23371730183999997</v>
      </c>
      <c r="H145" s="4">
        <f>$G$5*F144</f>
        <v>0.46743460367999995</v>
      </c>
      <c r="I145" s="4">
        <f>$H$5*B145+$I$5*C145</f>
        <v>0</v>
      </c>
      <c r="J145" s="4">
        <f>J144+I145</f>
        <v>0</v>
      </c>
      <c r="K145" s="32">
        <f t="shared" ref="K145:K155" si="44">J145/(B145+C145)</f>
        <v>0</v>
      </c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</row>
    <row r="146" spans="1:24" x14ac:dyDescent="0.25">
      <c r="A146" s="11" t="str">
        <f>$A$29</f>
        <v>Spring 2027</v>
      </c>
      <c r="B146" s="4">
        <f>IF(B145-D145+G145-(B145*($B$5+$H$5))+(C145*($C$5))&lt;0,0,B145-D145+G145-(B145*($B$5+$H$5))+(C145*($C$5)))</f>
        <v>91.850899623119972</v>
      </c>
      <c r="C146" s="4">
        <f>IF(C145-E145+H145-(C145*($C$5+$I$5))+(B145*($B$5))&lt;0,0,C145-E145+H145-(C145*($C$5+$I$5))+(B145*($B$5)))</f>
        <v>75.745652823599983</v>
      </c>
      <c r="D146" s="4">
        <f>$D$6*B146</f>
        <v>9.1850899623119968</v>
      </c>
      <c r="E146" s="4">
        <f>$E$6*C146</f>
        <v>11.361847923539997</v>
      </c>
      <c r="F146" s="4">
        <f t="shared" ref="F146:F155" si="45">F145+D146+E146</f>
        <v>66.121811744651978</v>
      </c>
      <c r="G146" s="4">
        <f>$F$6*F145</f>
        <v>0.91149747717599983</v>
      </c>
      <c r="H146" s="4">
        <f>$G$6*F145</f>
        <v>1.3672462157639997</v>
      </c>
      <c r="I146" s="4">
        <f>$H$6*B146+$I$6*C146</f>
        <v>0</v>
      </c>
      <c r="J146" s="4">
        <f t="shared" ref="J146:J155" si="46">J145+I146</f>
        <v>0</v>
      </c>
      <c r="K146" s="32">
        <f t="shared" si="44"/>
        <v>0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</row>
    <row r="147" spans="1:24" x14ac:dyDescent="0.25">
      <c r="A147" s="99"/>
      <c r="B147" s="4">
        <f>IF(B146-D146+G146-(B146*($B$6+$H$6))+(C146*($C$6))&lt;0,0,B146-D146+G146-(B146*($B$6+$H$6))+(C146*($C$6)))</f>
        <v>70.944674503257588</v>
      </c>
      <c r="C147" s="4">
        <f>IF(C146-E146+H146-(C146*($C$6+$I$6))+(B146*($B$6))&lt;0,0,C146-E146+H146-(C146*($C$6+$I$6))+(B146*($B$6)))</f>
        <v>78.383683750550375</v>
      </c>
      <c r="D147" s="4">
        <f>$D$7*B147</f>
        <v>7.0944674503257588</v>
      </c>
      <c r="E147" s="4">
        <f>$E$7*C147</f>
        <v>11.757552562582555</v>
      </c>
      <c r="F147" s="4">
        <f t="shared" si="45"/>
        <v>84.973831757560305</v>
      </c>
      <c r="G147" s="4">
        <f>$F$7*F146</f>
        <v>1.9836543523395593</v>
      </c>
      <c r="H147" s="4">
        <f>$G$7*F146</f>
        <v>2.6448724697860793</v>
      </c>
      <c r="I147" s="4">
        <f>$H$7*B147+$I$7*C147</f>
        <v>0</v>
      </c>
      <c r="J147" s="4">
        <f t="shared" si="46"/>
        <v>0</v>
      </c>
      <c r="K147" s="32">
        <f t="shared" si="44"/>
        <v>0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</row>
    <row r="148" spans="1:24" x14ac:dyDescent="0.25">
      <c r="A148" s="99"/>
      <c r="B148" s="4">
        <f>IF(B147-D147+G147-(B147*($B$7+$H$7))+(C147*($C$7))&lt;0,0,B147-D147+G147-(B147*($B$7+$H$7))+(C147*($C$7)))</f>
        <v>57.354954644577191</v>
      </c>
      <c r="C148" s="4">
        <f>IF(C147-E147+H147-(C147*($C$7+$I$7))+(B147*($B$7))&lt;0,0,C147-E147+H147-(C147*($C$7+$I$7))+(B147*($B$7)))</f>
        <v>77.749910418448096</v>
      </c>
      <c r="D148" s="4">
        <f>$D$8*B148</f>
        <v>5.7354954644577196</v>
      </c>
      <c r="E148" s="4">
        <f>$E$8*C148</f>
        <v>11.662486562767214</v>
      </c>
      <c r="F148" s="4">
        <f t="shared" si="45"/>
        <v>102.37181378478523</v>
      </c>
      <c r="G148" s="4">
        <f>$F$8*F147</f>
        <v>2.5492149527268091</v>
      </c>
      <c r="H148" s="4">
        <f>$G$8*F147</f>
        <v>4.2486915878780156</v>
      </c>
      <c r="I148" s="4">
        <f>$H$8*B148+$I$8*C148</f>
        <v>0</v>
      </c>
      <c r="J148" s="4">
        <f t="shared" si="46"/>
        <v>0</v>
      </c>
      <c r="K148" s="32">
        <f t="shared" si="44"/>
        <v>0</v>
      </c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</row>
    <row r="149" spans="1:24" x14ac:dyDescent="0.25">
      <c r="A149" s="99"/>
      <c r="B149" s="4">
        <f>IF(B148-D148+G148-(B148*($B$8+$H$8))+(C148*($C$8))&lt;0,0,B148-D148+G148-(B148*($B$8+$H$8))+(C148*($C$8)))</f>
        <v>48.178476059992562</v>
      </c>
      <c r="C149" s="4">
        <f>IF(C148-E148+H148-(C148*($C$8+$I$8))+(B148*($B$8))&lt;0,0,C148-E148+H148-(C148*($C$8+$I$8))+(B148*($B$8)))</f>
        <v>76.326313516412611</v>
      </c>
      <c r="D149" s="4">
        <f>$D$9*B149</f>
        <v>4.8178476059992565</v>
      </c>
      <c r="E149" s="4">
        <f>$E$9*C149</f>
        <v>11.448947027461891</v>
      </c>
      <c r="F149" s="4">
        <f t="shared" si="45"/>
        <v>118.63860841824638</v>
      </c>
      <c r="G149" s="4">
        <f>$F$9*F148</f>
        <v>3.0711544135435567</v>
      </c>
      <c r="H149" s="4">
        <f>$G$9*F148</f>
        <v>5.1185906892392623</v>
      </c>
      <c r="I149" s="4">
        <f>$H$9*B149+$I$9*C149</f>
        <v>0</v>
      </c>
      <c r="J149" s="4">
        <f t="shared" si="46"/>
        <v>0</v>
      </c>
      <c r="K149" s="32">
        <f t="shared" si="44"/>
        <v>0</v>
      </c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</row>
    <row r="150" spans="1:24" x14ac:dyDescent="0.25">
      <c r="A150" s="99"/>
      <c r="B150" s="4">
        <f>IF(B149-D149+G149-(B149*($B$9+$H$9))+(C149*($C$9))&lt;0,0,B149-D149+G149-(B149*($B$9+$H$9))+(C149*($C$9)))</f>
        <v>42.019795204179985</v>
      </c>
      <c r="C150" s="4">
        <f>IF(C149-E149+H149-(C149*($C$9+$I$9))+(B149*($B$9))&lt;0,0,C149-E149+H149-(C149*($C$9+$I$9))+(B149*($B$9)))</f>
        <v>74.407944841546851</v>
      </c>
      <c r="D150" s="4">
        <f>$D$10*B150</f>
        <v>4.201979520417999</v>
      </c>
      <c r="E150" s="4">
        <f>$E$10*C150</f>
        <v>11.161191726232028</v>
      </c>
      <c r="F150" s="4">
        <f t="shared" si="45"/>
        <v>134.00177966489639</v>
      </c>
      <c r="G150" s="4">
        <f>$F$10*F149</f>
        <v>3.559158252547391</v>
      </c>
      <c r="H150" s="4">
        <f>$G$10*F149</f>
        <v>5.9319304209123196</v>
      </c>
      <c r="I150" s="4">
        <f>$H$10*B150+$I$10*C150</f>
        <v>0.42019795204179988</v>
      </c>
      <c r="J150" s="4">
        <f t="shared" si="46"/>
        <v>0.42019795204179988</v>
      </c>
      <c r="K150" s="32">
        <f t="shared" si="44"/>
        <v>3.6090879362321018E-3</v>
      </c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</row>
    <row r="151" spans="1:24" x14ac:dyDescent="0.25">
      <c r="A151" s="99"/>
      <c r="B151" s="4">
        <f>IF(B150-D150+G150-(B150*($B$10+$H$10))+(C150*($C$10))&lt;0,0,B150-D150+G150-(B150*($B$10+$H$10))+(C150*($C$10)))</f>
        <v>37.472423715335466</v>
      </c>
      <c r="C151" s="4">
        <f>IF(C150-E150+H150-(C150*($C$10+$I$10))+(B150*($B$10))&lt;0,0,C150-E150+H150-(C150*($C$10+$I$10))+(B150*($B$10)))</f>
        <v>72.663035805159254</v>
      </c>
      <c r="D151" s="4">
        <f>$D$11*B151</f>
        <v>3.747242371533547</v>
      </c>
      <c r="E151" s="4">
        <f>$E$11*C151</f>
        <v>10.899455370773888</v>
      </c>
      <c r="F151" s="4">
        <f t="shared" si="45"/>
        <v>148.64847740720384</v>
      </c>
      <c r="G151" s="4">
        <f>$F$11*F150</f>
        <v>4.0200533899468915</v>
      </c>
      <c r="H151" s="4">
        <f>$G$11*F150</f>
        <v>6.7000889832448198</v>
      </c>
      <c r="I151" s="4">
        <f>$H$11*B151+$I$11*C151</f>
        <v>0.74944847430670936</v>
      </c>
      <c r="J151" s="4">
        <f t="shared" si="46"/>
        <v>1.1696464263485091</v>
      </c>
      <c r="K151" s="32">
        <f t="shared" si="44"/>
        <v>1.0620071241731676E-2</v>
      </c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</row>
    <row r="152" spans="1:24" x14ac:dyDescent="0.25">
      <c r="A152" s="99"/>
      <c r="B152" s="4">
        <f>IF(B151-D151+G151-(B151*($B$11+$H$11))+(C151*($C$11))&lt;0,0,B151-D151+G151-(B151*($B$11+$H$11))+(C151*($C$11)))</f>
        <v>34.144535436817456</v>
      </c>
      <c r="C152" s="4">
        <f>IF(C151-E151+H151-(C151*($C$11+$I$11))+(B151*($B$11))&lt;0,0,C151-E151+H151-(C151*($C$11+$I$11))+(B151*($B$11)))</f>
        <v>71.314920240254835</v>
      </c>
      <c r="D152" s="4">
        <f>$D$12*B152</f>
        <v>3.4144535436817458</v>
      </c>
      <c r="E152" s="4">
        <f>$E$12*C152</f>
        <v>10.697238036038225</v>
      </c>
      <c r="F152" s="4">
        <f t="shared" si="45"/>
        <v>162.76016898692382</v>
      </c>
      <c r="G152" s="4">
        <f>$F$12*F151</f>
        <v>4.4594543222161152</v>
      </c>
      <c r="H152" s="4">
        <f>$G$12*F151</f>
        <v>7.4324238703601928</v>
      </c>
      <c r="I152" s="4">
        <f>$H$12*B152+$I$12*C152</f>
        <v>5.1216803155226183</v>
      </c>
      <c r="J152" s="4">
        <f t="shared" si="46"/>
        <v>6.2913267418711278</v>
      </c>
      <c r="K152" s="32">
        <f t="shared" si="44"/>
        <v>5.9656355150701869E-2</v>
      </c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</row>
    <row r="153" spans="1:24" x14ac:dyDescent="0.25">
      <c r="A153" s="99"/>
      <c r="B153" s="4">
        <f>IF(B152-D152+G152-(B152*($B$12+$H$12))+(C152*($C$12))&lt;0,0,B152-D152+G152-(B152*($B$12+$H$12))+(C152*($C$12)))</f>
        <v>27.638878001545805</v>
      </c>
      <c r="C153" s="4">
        <f>IF(C152-E152+H152-(C152*($C$12+$I$12))+(B152*($B$12))&lt;0,0,C152-E152+H152-(C152*($C$12+$I$12))+(B152*($B$12)))</f>
        <v>70.479083972860209</v>
      </c>
      <c r="D153" s="4">
        <f>$D$13*B153</f>
        <v>2.7638878001545808</v>
      </c>
      <c r="E153" s="4">
        <f>$E$13*C153</f>
        <v>10.571862595929032</v>
      </c>
      <c r="F153" s="4">
        <f t="shared" si="45"/>
        <v>176.09591938300741</v>
      </c>
      <c r="G153" s="4">
        <f>$F$13*F152</f>
        <v>4.8828050696077145</v>
      </c>
      <c r="H153" s="4">
        <f>$G$13*F152</f>
        <v>8.1380084493461915</v>
      </c>
      <c r="I153" s="4">
        <f>$H$13*B153+$I$13*C153</f>
        <v>4.145831700231871</v>
      </c>
      <c r="J153" s="4">
        <f t="shared" si="46"/>
        <v>10.437158442102998</v>
      </c>
      <c r="K153" s="32">
        <f t="shared" si="44"/>
        <v>0.10637357556229635</v>
      </c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</row>
    <row r="154" spans="1:24" x14ac:dyDescent="0.25">
      <c r="A154" s="99"/>
      <c r="B154" s="4">
        <f>IF(B153-D153+G153-(B153*($B$13+$H$13))+(C153*($C$13))&lt;0,0,B153-D153+G153-(B153*($B$13+$H$13))+(C153*($C$13)))</f>
        <v>24.644597347604808</v>
      </c>
      <c r="C154" s="4">
        <f>IF(C153-E153+H153-(C153*($C$13+$I$13))+(B153*($B$13))&lt;0,0,C153-E153+H153-(C153*($C$13+$I$13))+(B153*($B$13)))</f>
        <v>69.012596049439622</v>
      </c>
      <c r="D154" s="4">
        <f>$D$14*B154</f>
        <v>2.4644597347604811</v>
      </c>
      <c r="E154" s="4">
        <f>$E$14*C154</f>
        <v>10.351889407415943</v>
      </c>
      <c r="F154" s="4">
        <f t="shared" si="45"/>
        <v>188.91226852518383</v>
      </c>
      <c r="G154" s="4">
        <f>$F$14*F153</f>
        <v>5.2828775814902222</v>
      </c>
      <c r="H154" s="4">
        <f>$G$14*F153</f>
        <v>8.804795969150371</v>
      </c>
      <c r="I154" s="4">
        <f>$H$14*B154+$I$14*C154</f>
        <v>5.7670674836239098</v>
      </c>
      <c r="J154" s="4">
        <f t="shared" si="46"/>
        <v>16.204225925726909</v>
      </c>
      <c r="K154" s="32">
        <f t="shared" si="44"/>
        <v>0.17301635184637371</v>
      </c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</row>
    <row r="155" spans="1:24" x14ac:dyDescent="0.25">
      <c r="A155" s="99"/>
      <c r="B155" s="4">
        <f>IF(B154-D154+G154-(B154*($B$13+$H$13))+(C154*($C$13))&lt;0,0,B154-D154+G154-(B154*($B$13+$H$13))+(C154*($C$13)))</f>
        <v>23.520651966332398</v>
      </c>
      <c r="C155" s="4">
        <f>IF(C154-E154+H154-(C154*($C$14+$I$14))+(B154*($B$14))&lt;0,0,C154-E154+H154-(C154*($C$14+$I$14))+(B154*($B$14)))</f>
        <v>65.887244329028348</v>
      </c>
      <c r="D155" s="4">
        <f>$D$15*B155</f>
        <v>2.35206519663324</v>
      </c>
      <c r="E155" s="4">
        <f>$E$15*C155</f>
        <v>9.8830866493542526</v>
      </c>
      <c r="F155" s="4">
        <f t="shared" si="45"/>
        <v>201.14742037117134</v>
      </c>
      <c r="G155" s="4">
        <f>$F$15*F154</f>
        <v>5.6673680557555146</v>
      </c>
      <c r="H155" s="4">
        <f>$G$15*F154</f>
        <v>9.4456134262591913</v>
      </c>
      <c r="I155" s="4">
        <f>$H$15*B155+$I$15*C155</f>
        <v>6.1635875681109935</v>
      </c>
      <c r="J155" s="4">
        <f t="shared" si="46"/>
        <v>22.367813493837904</v>
      </c>
      <c r="K155" s="32">
        <f t="shared" si="44"/>
        <v>0.25017715907267735</v>
      </c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</row>
    <row r="156" spans="1:24" x14ac:dyDescent="0.25">
      <c r="A156" s="8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9" t="s">
        <v>115</v>
      </c>
      <c r="M156" s="8"/>
      <c r="N156" s="9" t="str">
        <f>"Coninuing Since  "&amp;$A$18</f>
        <v>Coninuing Since  New Fall 2022</v>
      </c>
      <c r="O156" s="8"/>
      <c r="P156" s="8"/>
      <c r="Q156" s="11" t="s">
        <v>116</v>
      </c>
      <c r="R156" s="13"/>
      <c r="S156" s="13"/>
      <c r="T156" s="13"/>
      <c r="U156" s="13"/>
      <c r="V156" s="13"/>
      <c r="W156" s="13"/>
      <c r="X156" s="13"/>
    </row>
    <row r="157" spans="1:24" x14ac:dyDescent="0.25">
      <c r="A157" s="11" t="str">
        <f>$A$17</f>
        <v>Semester</v>
      </c>
      <c r="B157" s="12" t="s">
        <v>71</v>
      </c>
      <c r="C157" s="12" t="s">
        <v>72</v>
      </c>
      <c r="D157" s="12" t="s">
        <v>82</v>
      </c>
      <c r="E157" s="12" t="s">
        <v>81</v>
      </c>
      <c r="F157" s="12" t="s">
        <v>73</v>
      </c>
      <c r="G157" s="12" t="s">
        <v>83</v>
      </c>
      <c r="H157" s="12" t="s">
        <v>84</v>
      </c>
      <c r="I157" s="12" t="s">
        <v>70</v>
      </c>
      <c r="J157" s="12" t="s">
        <v>74</v>
      </c>
      <c r="K157" s="12" t="s">
        <v>85</v>
      </c>
      <c r="L157" s="12" t="s">
        <v>89</v>
      </c>
      <c r="M157" s="12" t="s">
        <v>90</v>
      </c>
      <c r="N157" s="12" t="s">
        <v>89</v>
      </c>
      <c r="O157" s="12" t="s">
        <v>90</v>
      </c>
      <c r="P157" s="12" t="s">
        <v>89</v>
      </c>
      <c r="Q157" s="12" t="s">
        <v>90</v>
      </c>
      <c r="R157" s="13"/>
      <c r="S157" s="13"/>
      <c r="T157" s="13"/>
      <c r="U157" s="13"/>
      <c r="V157" s="13"/>
      <c r="W157" s="13"/>
      <c r="X157" s="13"/>
    </row>
    <row r="158" spans="1:24" x14ac:dyDescent="0.25">
      <c r="A158" s="11" t="str">
        <f>"New "&amp;$A$28</f>
        <v>New Fall 2027</v>
      </c>
      <c r="B158" s="92">
        <f>Enrollment!H3</f>
        <v>412.19233233599994</v>
      </c>
      <c r="C158" s="92">
        <f>Enrollment!H7</f>
        <v>103.04808308399998</v>
      </c>
      <c r="D158" s="4">
        <f>$D$4*B158</f>
        <v>41.219233233599994</v>
      </c>
      <c r="E158" s="4">
        <f>$E$4*C158</f>
        <v>15.457212462599998</v>
      </c>
      <c r="F158" s="4">
        <f>D158+E158</f>
        <v>56.676445696199991</v>
      </c>
      <c r="G158" s="4">
        <v>0</v>
      </c>
      <c r="H158" s="4">
        <v>0</v>
      </c>
      <c r="I158" s="4">
        <f>$H$4*B158+$I$4*C158</f>
        <v>0</v>
      </c>
      <c r="J158" s="4">
        <f>I158</f>
        <v>0</v>
      </c>
      <c r="K158" s="32">
        <f>J158/(B158+C158)</f>
        <v>0</v>
      </c>
      <c r="L158" s="4">
        <f>L186</f>
        <v>71.955589182013398</v>
      </c>
      <c r="M158" s="6">
        <f>M186</f>
        <v>201.5656492881549</v>
      </c>
      <c r="N158" s="6">
        <f>B145+B132+B119+B106+B94+B81+B68+B55+B42+B29</f>
        <v>926.99001316280373</v>
      </c>
      <c r="O158" s="6">
        <f>C145+C132+C119+C106+C94+C81+C68+C55</f>
        <v>1082.2682961657081</v>
      </c>
      <c r="P158" s="6">
        <f>L158+N158</f>
        <v>998.94560234481719</v>
      </c>
      <c r="Q158" s="6">
        <f>M158+O158</f>
        <v>1283.833945453863</v>
      </c>
      <c r="R158" s="13"/>
      <c r="S158" s="13"/>
      <c r="T158" s="13"/>
      <c r="U158" s="13"/>
      <c r="V158" s="13"/>
      <c r="W158" s="13"/>
      <c r="X158" s="13"/>
    </row>
    <row r="159" spans="1:24" x14ac:dyDescent="0.25">
      <c r="A159" s="11" t="str">
        <f>$A$29</f>
        <v>Spring 2027</v>
      </c>
      <c r="B159" s="4">
        <f>IF(B158-D158+G158-(B158*($B$4+$H$4))+(C158*($C$4))&lt;0,0,B158-D158+G158-(B158*($B$4+$H$4))+(C158*($C$4)))</f>
        <v>298.83944094359993</v>
      </c>
      <c r="C159" s="4">
        <f>IF(C158-E158+H158-(C158*($C$4+$I$4))+(B158*($B$4))&lt;0,0,C158-E158+H158-(C158*($C$4+$I$4))+(B158*($B$4)))</f>
        <v>159.72452878019999</v>
      </c>
      <c r="D159" s="4">
        <f>$D$5*B159</f>
        <v>29.883944094359993</v>
      </c>
      <c r="E159" s="4">
        <f>$E$5*C159</f>
        <v>23.958679317029997</v>
      </c>
      <c r="F159" s="4">
        <f>F158+D159+E159</f>
        <v>110.51906910758998</v>
      </c>
      <c r="G159" s="4">
        <f>$F$5*F158</f>
        <v>0.56676445696199995</v>
      </c>
      <c r="H159" s="4">
        <f>$G$5*F158</f>
        <v>1.1335289139239999</v>
      </c>
      <c r="I159" s="4">
        <f>$H$5*B159+$I$5*C159</f>
        <v>0</v>
      </c>
      <c r="J159" s="4">
        <f>J158+I159</f>
        <v>0</v>
      </c>
      <c r="K159" s="32">
        <f t="shared" ref="K159:K169" si="47">J159/(B159+C159)</f>
        <v>0</v>
      </c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</row>
    <row r="160" spans="1:24" x14ac:dyDescent="0.25">
      <c r="A160" s="83"/>
      <c r="B160" s="4">
        <f>IF(B159-D159+G159-(B159*($B$5+$H$5))+(C159*($C$5))&lt;0,0,B159-D159+G159-(B159*($B$5+$H$5))+(C159*($C$5)))</f>
        <v>222.73843158606593</v>
      </c>
      <c r="C160" s="4">
        <f>IF(C159-E159+H159-(C159*($C$5+$I$5))+(B159*($B$5))&lt;0,0,C159-E159+H159-(C159*($C$5+$I$5))+(B159*($B$5)))</f>
        <v>183.68320809722999</v>
      </c>
      <c r="D160" s="4">
        <f>$D$6*B160</f>
        <v>22.273843158606596</v>
      </c>
      <c r="E160" s="4">
        <f>$E$6*C160</f>
        <v>27.5524812145845</v>
      </c>
      <c r="F160" s="4">
        <f t="shared" ref="F160:F169" si="48">F159+D160+E160</f>
        <v>160.3453934807811</v>
      </c>
      <c r="G160" s="4">
        <f>$F$6*F159</f>
        <v>2.2103813821517999</v>
      </c>
      <c r="H160" s="4">
        <f>$G$6*F159</f>
        <v>3.3155720732276994</v>
      </c>
      <c r="I160" s="4">
        <f>$H$6*B160+$I$6*C160</f>
        <v>0</v>
      </c>
      <c r="J160" s="4">
        <f t="shared" ref="J160:J169" si="49">J159+I160</f>
        <v>0</v>
      </c>
      <c r="K160" s="32">
        <f t="shared" si="47"/>
        <v>0</v>
      </c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</row>
    <row r="161" spans="1:24" x14ac:dyDescent="0.25">
      <c r="A161" s="99" t="s">
        <v>87</v>
      </c>
      <c r="B161" s="4">
        <f>IF(B160-D160+G160-(B160*($B$6+$H$6))+(C160*($C$6))&lt;0,0,B160-D160+G160-(B160*($B$6+$H$6))+(C160*($C$6)))</f>
        <v>172.04083567039962</v>
      </c>
      <c r="C161" s="4">
        <f>IF(C160-E160+H160-(C160*($C$6+$I$6))+(B160*($B$6))&lt;0,0,C160-E160+H160-(C160*($C$6+$I$6))+(B160*($B$6)))</f>
        <v>190.08043309508471</v>
      </c>
      <c r="D161" s="4">
        <f>$D$7*B161</f>
        <v>17.204083567039962</v>
      </c>
      <c r="E161" s="4">
        <f>$E$7*C161</f>
        <v>28.512064964262706</v>
      </c>
      <c r="F161" s="4">
        <f t="shared" si="48"/>
        <v>206.06154201208375</v>
      </c>
      <c r="G161" s="4">
        <f>$F$7*F160</f>
        <v>4.8103618044234331</v>
      </c>
      <c r="H161" s="4">
        <f>$G$7*F160</f>
        <v>6.4138157392312438</v>
      </c>
      <c r="I161" s="4">
        <f>$H$7*B161+$I$7*C161</f>
        <v>0</v>
      </c>
      <c r="J161" s="4">
        <f t="shared" si="49"/>
        <v>0</v>
      </c>
      <c r="K161" s="32">
        <f t="shared" si="47"/>
        <v>0</v>
      </c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</row>
    <row r="162" spans="1:24" x14ac:dyDescent="0.25">
      <c r="A162" s="99"/>
      <c r="B162" s="4">
        <f>IF(B161-D161+G161-(B161*($B$7+$H$7))+(C161*($C$7))&lt;0,0,B161-D161+G161-(B161*($B$7+$H$7))+(C161*($C$7)))</f>
        <v>139.08576501309963</v>
      </c>
      <c r="C162" s="4">
        <f>IF(C161-E161+H161-(C161*($C$7+$I$7))+(B161*($B$7))&lt;0,0,C161-E161+H161-(C161*($C$7+$I$7))+(B161*($B$7)))</f>
        <v>188.54353276473671</v>
      </c>
      <c r="D162" s="4">
        <f>$D$8*B162</f>
        <v>13.908576501309964</v>
      </c>
      <c r="E162" s="4">
        <f>$E$8*C162</f>
        <v>28.281529914710507</v>
      </c>
      <c r="F162" s="4">
        <f t="shared" si="48"/>
        <v>248.25164842810423</v>
      </c>
      <c r="G162" s="4">
        <f>$F$8*F161</f>
        <v>6.1818462603625122</v>
      </c>
      <c r="H162" s="4">
        <f>$G$8*F161</f>
        <v>10.303077100604188</v>
      </c>
      <c r="I162" s="4">
        <f>$H$8*B162+$I$8*C162</f>
        <v>0</v>
      </c>
      <c r="J162" s="4">
        <f t="shared" si="49"/>
        <v>0</v>
      </c>
      <c r="K162" s="32">
        <f t="shared" si="47"/>
        <v>0</v>
      </c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</row>
    <row r="163" spans="1:24" x14ac:dyDescent="0.25">
      <c r="A163" s="99"/>
      <c r="B163" s="4">
        <f>IF(B162-D162+G162-(B162*($B$8+$H$8))+(C162*($C$8))&lt;0,0,B162-D162+G162-(B162*($B$8+$H$8))+(C162*($C$8)))</f>
        <v>116.83280444548193</v>
      </c>
      <c r="C163" s="4">
        <f>IF(C162-E162+H162-(C162*($C$8+$I$8))+(B162*($B$8))&lt;0,0,C162-E162+H162-(C162*($C$8+$I$8))+(B162*($B$8)))</f>
        <v>185.09131027730064</v>
      </c>
      <c r="D163" s="4">
        <f>$D$9*B163</f>
        <v>11.683280444548194</v>
      </c>
      <c r="E163" s="4">
        <f>$E$9*C163</f>
        <v>27.763696541595095</v>
      </c>
      <c r="F163" s="4">
        <f t="shared" si="48"/>
        <v>287.69862541424754</v>
      </c>
      <c r="G163" s="4">
        <f>$F$9*F162</f>
        <v>7.447549452843127</v>
      </c>
      <c r="H163" s="4">
        <f>$G$9*F162</f>
        <v>12.412582421405212</v>
      </c>
      <c r="I163" s="4">
        <f>$H$9*B163+$I$9*C163</f>
        <v>0</v>
      </c>
      <c r="J163" s="4">
        <f t="shared" si="49"/>
        <v>0</v>
      </c>
      <c r="K163" s="32">
        <f t="shared" si="47"/>
        <v>0</v>
      </c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</row>
    <row r="164" spans="1:24" x14ac:dyDescent="0.25">
      <c r="A164" s="99"/>
      <c r="B164" s="4">
        <f>IF(B163-D163+G163-(B163*($B$9+$H$9))+(C163*($C$9))&lt;0,0,B163-D163+G163-(B163*($B$9+$H$9))+(C163*($C$9)))</f>
        <v>101.89800337013644</v>
      </c>
      <c r="C164" s="4">
        <f>IF(C163-E163+H163-(C163*($C$9+$I$9))+(B163*($B$9))&lt;0,0,C163-E163+H163-(C163*($C$9+$I$9))+(B163*($B$9)))</f>
        <v>180.43926624075115</v>
      </c>
      <c r="D164" s="4">
        <f>$D$10*B164</f>
        <v>10.189800337013644</v>
      </c>
      <c r="E164" s="4">
        <f>$E$10*C164</f>
        <v>27.065889936112672</v>
      </c>
      <c r="F164" s="4">
        <f t="shared" si="48"/>
        <v>324.95431568737388</v>
      </c>
      <c r="G164" s="4">
        <f>$F$10*F163</f>
        <v>8.6309587624274258</v>
      </c>
      <c r="H164" s="4">
        <f>$G$10*F163</f>
        <v>14.384931270712379</v>
      </c>
      <c r="I164" s="4">
        <f>$H$10*B164+$I$10*C164</f>
        <v>1.0189800337013644</v>
      </c>
      <c r="J164" s="4">
        <f t="shared" si="49"/>
        <v>1.0189800337013644</v>
      </c>
      <c r="K164" s="32">
        <f t="shared" si="47"/>
        <v>3.6090879362321005E-3</v>
      </c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</row>
    <row r="165" spans="1:24" x14ac:dyDescent="0.25">
      <c r="A165" s="99"/>
      <c r="B165" s="4">
        <f>IF(B164-D164+G164-(B164*($B$10+$H$10))+(C164*($C$10))&lt;0,0,B164-D164+G164-(B164*($B$10+$H$10))+(C164*($C$10)))</f>
        <v>90.870627509688489</v>
      </c>
      <c r="C165" s="4">
        <f>IF(C164-E164+H164-(C164*($C$10+$I$10))+(B164*($B$10))&lt;0,0,C164-E164+H164-(C164*($C$10+$I$10))+(B164*($B$10)))</f>
        <v>176.20786182751121</v>
      </c>
      <c r="D165" s="4">
        <f>$D$11*B165</f>
        <v>9.0870627509688493</v>
      </c>
      <c r="E165" s="4">
        <f>$E$11*C165</f>
        <v>26.431179274126681</v>
      </c>
      <c r="F165" s="4">
        <f t="shared" si="48"/>
        <v>360.47255771246944</v>
      </c>
      <c r="G165" s="4">
        <f>$F$11*F164</f>
        <v>9.748629470621216</v>
      </c>
      <c r="H165" s="4">
        <f>$G$11*F164</f>
        <v>16.247715784368694</v>
      </c>
      <c r="I165" s="4">
        <f>$H$11*B165+$I$11*C165</f>
        <v>1.8174125501937699</v>
      </c>
      <c r="J165" s="4">
        <f t="shared" si="49"/>
        <v>2.836392583895134</v>
      </c>
      <c r="K165" s="32">
        <f t="shared" si="47"/>
        <v>1.0620071241731675E-2</v>
      </c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</row>
    <row r="166" spans="1:24" x14ac:dyDescent="0.25">
      <c r="A166" s="99"/>
      <c r="B166" s="4">
        <f>IF(B165-D165+G165-(B165*($B$11+$H$11))+(C165*($C$11))&lt;0,0,B165-D165+G165-(B165*($B$11+$H$11))+(C165*($C$11)))</f>
        <v>82.800498434282304</v>
      </c>
      <c r="C166" s="4">
        <f>IF(C165-E165+H165-(C165*($C$11+$I$11))+(B165*($B$11))&lt;0,0,C165-E165+H165-(C165*($C$11+$I$11))+(B165*($B$11)))</f>
        <v>172.93868158261799</v>
      </c>
      <c r="D166" s="4">
        <f>$D$12*B166</f>
        <v>8.2800498434282304</v>
      </c>
      <c r="E166" s="4">
        <f>$E$12*C166</f>
        <v>25.940802237392699</v>
      </c>
      <c r="F166" s="4">
        <f t="shared" si="48"/>
        <v>394.69340979329036</v>
      </c>
      <c r="G166" s="4">
        <f>$F$12*F165</f>
        <v>10.814176731374083</v>
      </c>
      <c r="H166" s="4">
        <f>$G$12*F165</f>
        <v>18.023627885623473</v>
      </c>
      <c r="I166" s="4">
        <f>$H$12*B166+$I$12*C166</f>
        <v>12.420074765142346</v>
      </c>
      <c r="J166" s="4">
        <f t="shared" si="49"/>
        <v>15.256467349037479</v>
      </c>
      <c r="K166" s="32">
        <f t="shared" si="47"/>
        <v>5.9656355150701855E-2</v>
      </c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</row>
    <row r="167" spans="1:24" x14ac:dyDescent="0.25">
      <c r="A167" s="99"/>
      <c r="B167" s="4">
        <f>IF(B166-D166+G166-(B166*($B$12+$H$12))+(C166*($C$12))&lt;0,0,B166-D166+G166-(B166*($B$12+$H$12))+(C166*($C$12)))</f>
        <v>67.024279153748566</v>
      </c>
      <c r="C167" s="4">
        <f>IF(C166-E166+H166-(C166*($C$12+$I$12))+(B166*($B$12))&lt;0,0,C166-E166+H166-(C166*($C$12+$I$12))+(B166*($B$12)))</f>
        <v>170.91177863418602</v>
      </c>
      <c r="D167" s="4">
        <f>$D$13*B167</f>
        <v>6.7024279153748569</v>
      </c>
      <c r="E167" s="4">
        <f>$E$13*C167</f>
        <v>25.636766795127901</v>
      </c>
      <c r="F167" s="4">
        <f t="shared" si="48"/>
        <v>427.03260450379315</v>
      </c>
      <c r="G167" s="4">
        <f>$F$13*F166</f>
        <v>11.84080229379871</v>
      </c>
      <c r="H167" s="4">
        <f>$G$13*F166</f>
        <v>19.73467048966452</v>
      </c>
      <c r="I167" s="4">
        <f>$H$13*B167+$I$13*C167</f>
        <v>10.053641873062285</v>
      </c>
      <c r="J167" s="4">
        <f t="shared" si="49"/>
        <v>25.310109222099761</v>
      </c>
      <c r="K167" s="32">
        <f t="shared" si="47"/>
        <v>0.1063735755622963</v>
      </c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</row>
    <row r="168" spans="1:24" x14ac:dyDescent="0.25">
      <c r="A168" s="99"/>
      <c r="B168" s="4">
        <f>IF(B167-D167+G167-(B167*($B$13+$H$13))+(C167*($C$13))&lt;0,0,B167-D167+G167-(B167*($B$13+$H$13))+(C167*($C$13)))</f>
        <v>59.763148567941656</v>
      </c>
      <c r="C168" s="4">
        <f>IF(C167-E167+H167-(C167*($C$13+$I$13))+(B167*($B$13))&lt;0,0,C167-E167+H167-(C167*($C$13+$I$13))+(B167*($B$13)))</f>
        <v>167.35554541989111</v>
      </c>
      <c r="D168" s="4">
        <f>$D$14*B168</f>
        <v>5.9763148567941657</v>
      </c>
      <c r="E168" s="4">
        <f>$E$14*C168</f>
        <v>25.103331812983665</v>
      </c>
      <c r="F168" s="4">
        <f t="shared" si="48"/>
        <v>458.11225117357094</v>
      </c>
      <c r="G168" s="4">
        <f>$F$14*F167</f>
        <v>12.810978135113794</v>
      </c>
      <c r="H168" s="4">
        <f>$G$14*F167</f>
        <v>21.351630225189659</v>
      </c>
      <c r="I168" s="4">
        <f>$H$14*B168+$I$14*C168</f>
        <v>13.985138647787981</v>
      </c>
      <c r="J168" s="4">
        <f t="shared" si="49"/>
        <v>39.295247869887746</v>
      </c>
      <c r="K168" s="32">
        <f t="shared" si="47"/>
        <v>0.17301635184637365</v>
      </c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</row>
    <row r="169" spans="1:24" x14ac:dyDescent="0.25">
      <c r="A169" s="99"/>
      <c r="B169" s="4">
        <f>IF(B168-D168+G168-(B168*($B$13+$H$13))+(C168*($C$13))&lt;0,0,B168-D168+G168-(B168*($B$13+$H$13))+(C168*($C$13)))</f>
        <v>57.037581018356065</v>
      </c>
      <c r="C169" s="4">
        <f>IF(C168-E168+H168-(C168*($C$14+$I$14))+(B168*($B$14))&lt;0,0,C168-E168+H168-(C168*($C$14+$I$14))+(B168*($B$14)))</f>
        <v>159.77656749789378</v>
      </c>
      <c r="D169" s="4">
        <f>$D$15*B169</f>
        <v>5.7037581018356072</v>
      </c>
      <c r="E169" s="4">
        <f>$E$15*C169</f>
        <v>23.966485124684066</v>
      </c>
      <c r="F169" s="4">
        <f t="shared" si="48"/>
        <v>487.78249440009063</v>
      </c>
      <c r="G169" s="4">
        <f>$F$15*F168</f>
        <v>13.743367535207128</v>
      </c>
      <c r="H169" s="4">
        <f>$G$15*F168</f>
        <v>22.905612558678548</v>
      </c>
      <c r="I169" s="4">
        <f>$H$15*B169+$I$15*C169</f>
        <v>14.946699852669159</v>
      </c>
      <c r="J169" s="4">
        <f t="shared" si="49"/>
        <v>54.241947722556901</v>
      </c>
      <c r="K169" s="32">
        <f t="shared" si="47"/>
        <v>0.25017715907267724</v>
      </c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</row>
    <row r="170" spans="1:24" x14ac:dyDescent="0.25">
      <c r="A170" s="99"/>
      <c r="B170" s="90"/>
      <c r="C170" s="90"/>
      <c r="D170" s="90"/>
      <c r="E170" s="90"/>
      <c r="F170" s="90"/>
      <c r="G170" s="90"/>
      <c r="H170" s="90"/>
      <c r="I170" s="90"/>
      <c r="J170" s="90"/>
      <c r="K170" s="90"/>
      <c r="L170" s="9" t="s">
        <v>115</v>
      </c>
      <c r="M170" s="8"/>
      <c r="N170" s="9" t="str">
        <f>"Coninuing Since  "&amp;$A$18</f>
        <v>Coninuing Since  New Fall 2022</v>
      </c>
      <c r="O170" s="8"/>
      <c r="P170" s="8"/>
      <c r="Q170" s="11" t="s">
        <v>116</v>
      </c>
      <c r="R170" s="13"/>
      <c r="S170" s="13"/>
      <c r="T170" s="13"/>
      <c r="U170" s="13"/>
      <c r="V170" s="13"/>
      <c r="W170" s="13"/>
      <c r="X170" s="13"/>
    </row>
    <row r="171" spans="1:24" x14ac:dyDescent="0.25">
      <c r="A171" s="11" t="str">
        <f>$A$17</f>
        <v>Semester</v>
      </c>
      <c r="B171" s="12" t="s">
        <v>71</v>
      </c>
      <c r="C171" s="12" t="s">
        <v>72</v>
      </c>
      <c r="D171" s="12" t="s">
        <v>82</v>
      </c>
      <c r="E171" s="12" t="s">
        <v>81</v>
      </c>
      <c r="F171" s="12" t="s">
        <v>73</v>
      </c>
      <c r="G171" s="12" t="s">
        <v>83</v>
      </c>
      <c r="H171" s="12" t="s">
        <v>84</v>
      </c>
      <c r="I171" s="12" t="s">
        <v>70</v>
      </c>
      <c r="J171" s="12" t="s">
        <v>74</v>
      </c>
      <c r="K171" s="12" t="s">
        <v>85</v>
      </c>
      <c r="L171" s="12" t="s">
        <v>89</v>
      </c>
      <c r="M171" s="12" t="s">
        <v>90</v>
      </c>
      <c r="N171" s="12" t="s">
        <v>89</v>
      </c>
      <c r="O171" s="12" t="s">
        <v>90</v>
      </c>
      <c r="P171" s="12" t="s">
        <v>89</v>
      </c>
      <c r="Q171" s="12" t="s">
        <v>90</v>
      </c>
      <c r="R171" s="13"/>
      <c r="S171" s="13"/>
      <c r="T171" s="13"/>
      <c r="U171" s="13"/>
      <c r="V171" s="13"/>
      <c r="W171" s="13"/>
      <c r="X171" s="13"/>
    </row>
    <row r="172" spans="1:24" x14ac:dyDescent="0.25">
      <c r="A172" s="11" t="str">
        <f>"New "&amp;$A$29</f>
        <v>New Spring 2027</v>
      </c>
      <c r="B172" s="92">
        <f>Enrollment!H4</f>
        <v>164.87693293439997</v>
      </c>
      <c r="C172" s="92">
        <f>Enrollment!H8</f>
        <v>41.219233233599994</v>
      </c>
      <c r="D172" s="4">
        <f>$D$4*B172</f>
        <v>16.48769329344</v>
      </c>
      <c r="E172" s="4">
        <f>$E$4*C172</f>
        <v>6.1828849850399985</v>
      </c>
      <c r="F172" s="4">
        <f>D172+E172</f>
        <v>22.670578278479997</v>
      </c>
      <c r="G172" s="4">
        <f>$F$4*F172</f>
        <v>0</v>
      </c>
      <c r="H172" s="4">
        <f>$G$4*F172</f>
        <v>0</v>
      </c>
      <c r="I172" s="4">
        <f>$H$4*B172+$I$4*C172</f>
        <v>0</v>
      </c>
      <c r="J172" s="4">
        <f>I172</f>
        <v>0</v>
      </c>
      <c r="K172" s="32">
        <f>J172/(B172+C172)</f>
        <v>0</v>
      </c>
      <c r="L172" s="4">
        <f>L331</f>
        <v>0</v>
      </c>
      <c r="M172" s="6">
        <f>M331</f>
        <v>0</v>
      </c>
      <c r="N172" s="6">
        <f>B159+B146+B133+B120+B107+B95+B82+B69+B56+B43</f>
        <v>1008.0884275255802</v>
      </c>
      <c r="O172" s="6">
        <f>C159+C146+C133+C120+C107+C95+C82+C69</f>
        <v>1054.7160384008391</v>
      </c>
      <c r="P172" s="6">
        <f>L172+N172</f>
        <v>1008.0884275255802</v>
      </c>
      <c r="Q172" s="6">
        <f>M172+O172</f>
        <v>1054.7160384008391</v>
      </c>
      <c r="R172" s="13"/>
      <c r="S172" s="13"/>
      <c r="T172" s="13"/>
      <c r="U172" s="13"/>
      <c r="V172" s="13"/>
      <c r="W172" s="13"/>
      <c r="X172" s="13"/>
    </row>
    <row r="173" spans="1:24" x14ac:dyDescent="0.25">
      <c r="A173" s="83"/>
      <c r="B173" s="60"/>
      <c r="C173" s="60"/>
      <c r="D173" s="60"/>
      <c r="E173" s="60"/>
      <c r="F173" s="60"/>
      <c r="G173" s="60"/>
      <c r="H173" s="60"/>
      <c r="I173" s="60"/>
      <c r="J173" s="60"/>
      <c r="K173" s="91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</row>
    <row r="174" spans="1:24" x14ac:dyDescent="0.25">
      <c r="A174" s="20" t="s">
        <v>95</v>
      </c>
      <c r="B174" s="13"/>
      <c r="C174" s="13"/>
      <c r="D174" s="13"/>
      <c r="E174" s="13"/>
      <c r="F174" s="13"/>
      <c r="G174" s="13"/>
      <c r="H174" s="13"/>
      <c r="I174" s="13"/>
      <c r="J174" s="13"/>
      <c r="K174" s="9" t="s">
        <v>102</v>
      </c>
      <c r="L174" s="9"/>
      <c r="M174" s="9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</row>
    <row r="175" spans="1:24" x14ac:dyDescent="0.25">
      <c r="A175" s="11" t="str">
        <f>$A$17</f>
        <v>Semester</v>
      </c>
      <c r="B175" s="12" t="s">
        <v>71</v>
      </c>
      <c r="C175" s="12" t="s">
        <v>72</v>
      </c>
      <c r="D175" s="12" t="s">
        <v>82</v>
      </c>
      <c r="E175" s="12" t="s">
        <v>81</v>
      </c>
      <c r="F175" s="12" t="s">
        <v>73</v>
      </c>
      <c r="G175" s="12" t="s">
        <v>83</v>
      </c>
      <c r="H175" s="12" t="s">
        <v>84</v>
      </c>
      <c r="I175" s="12" t="s">
        <v>70</v>
      </c>
      <c r="J175" s="12" t="s">
        <v>74</v>
      </c>
      <c r="K175" s="35"/>
      <c r="L175" s="12" t="s">
        <v>89</v>
      </c>
      <c r="M175" s="12" t="s">
        <v>90</v>
      </c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</row>
    <row r="176" spans="1:24" x14ac:dyDescent="0.25">
      <c r="A176" s="11" t="s">
        <v>117</v>
      </c>
      <c r="B176" s="92">
        <f>Enrollment!A13</f>
        <v>520</v>
      </c>
      <c r="C176" s="92">
        <f>Enrollment!A14</f>
        <v>130</v>
      </c>
      <c r="D176" s="4">
        <f>$D$4*B176</f>
        <v>52</v>
      </c>
      <c r="E176" s="4">
        <f>$E$4*C176</f>
        <v>19.5</v>
      </c>
      <c r="F176" s="4">
        <f>D176+E176</f>
        <v>71.5</v>
      </c>
      <c r="G176" s="4">
        <v>0</v>
      </c>
      <c r="H176" s="4">
        <v>0</v>
      </c>
      <c r="I176" s="4">
        <f>$H$4*B176+$I$4*C176</f>
        <v>0</v>
      </c>
      <c r="J176" s="4">
        <f>I176</f>
        <v>0</v>
      </c>
      <c r="K176" s="32" t="s">
        <v>103</v>
      </c>
      <c r="L176" s="6">
        <f>SUM(B177:$B$187)</f>
        <v>1777.4331997360855</v>
      </c>
      <c r="M176" s="6">
        <f>SUM(C177:$C$187)</f>
        <v>2440.7814810415916</v>
      </c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</row>
    <row r="177" spans="1:24" x14ac:dyDescent="0.25">
      <c r="A177" s="11" t="s">
        <v>91</v>
      </c>
      <c r="B177" s="4">
        <f>IF(B176-D176+G176-(B176*($B$4+$H$4))+(C176*($C$4))&lt;0,0,B176-D176+G176-(B176*($B$4+$H$4))+(C176*($C$4)))</f>
        <v>377</v>
      </c>
      <c r="C177" s="4">
        <f>IF(C176-E176+H176-(C176*($C$4+$I$4))+(B176*($B$4))&lt;0,0,C176-E176+H176-(C176*($C$4+$I$4))+(B176*($B$4)))</f>
        <v>201.5</v>
      </c>
      <c r="D177" s="4">
        <f>$D$5*B177</f>
        <v>37.700000000000003</v>
      </c>
      <c r="E177" s="4">
        <f>$E$5*C177</f>
        <v>30.224999999999998</v>
      </c>
      <c r="F177" s="4">
        <f>F176+D177+E177</f>
        <v>139.42500000000001</v>
      </c>
      <c r="G177" s="4">
        <f>$F$5*F176</f>
        <v>0.71499999999999997</v>
      </c>
      <c r="H177" s="4">
        <f>$G$5*F176</f>
        <v>1.43</v>
      </c>
      <c r="I177" s="4">
        <f>$H$5*B177+$I$5*C177</f>
        <v>0</v>
      </c>
      <c r="J177" s="4">
        <f>J176+I177</f>
        <v>0</v>
      </c>
      <c r="K177" s="32" t="s">
        <v>104</v>
      </c>
      <c r="L177" s="6">
        <f>SUM(B178:$B$187)</f>
        <v>1400.4331997360857</v>
      </c>
      <c r="M177" s="6">
        <f>SUM(C178:$C$187)</f>
        <v>2239.2814810415916</v>
      </c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</row>
    <row r="178" spans="1:24" x14ac:dyDescent="0.25">
      <c r="A178" s="11" t="s">
        <v>92</v>
      </c>
      <c r="B178" s="4">
        <f>IF(B177-D177+G177-(B177*($B$5+$H$5))+(C177*($C$5))&lt;0,0,B177-D177+G177-(B177*($B$5+$H$5))+(C177*($C$5)))</f>
        <v>280.99499999999995</v>
      </c>
      <c r="C178" s="4">
        <f>IF(C177-E177+H177-(C177*($C$5+$I$5))+(B177*($B$5))&lt;0,0,C177-E177+H177-(C177*($C$5+$I$5))+(B177*($B$5)))</f>
        <v>231.72500000000002</v>
      </c>
      <c r="D178" s="4">
        <f>$D$6*B178</f>
        <v>28.099499999999995</v>
      </c>
      <c r="E178" s="4">
        <f>$E$6*C178</f>
        <v>34.758749999999999</v>
      </c>
      <c r="F178" s="4">
        <f t="shared" ref="F178:F186" si="50">F177+D178+E178</f>
        <v>202.28325000000001</v>
      </c>
      <c r="G178" s="4">
        <f>$F$6*F177</f>
        <v>2.7885000000000004</v>
      </c>
      <c r="H178" s="4">
        <f>$G$6*F177</f>
        <v>4.1827500000000004</v>
      </c>
      <c r="I178" s="4">
        <f>$H$6*B178+$I$6*C178</f>
        <v>0</v>
      </c>
      <c r="J178" s="4">
        <f t="shared" ref="J178:J186" si="51">J177+I178</f>
        <v>0</v>
      </c>
      <c r="K178" s="32" t="s">
        <v>105</v>
      </c>
      <c r="L178" s="6">
        <f>SUM(B179:$B$187)</f>
        <v>1119.4381997360858</v>
      </c>
      <c r="M178" s="6">
        <f>SUM(C179:$C$187)</f>
        <v>2007.556481041591</v>
      </c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</row>
    <row r="179" spans="1:24" x14ac:dyDescent="0.25">
      <c r="A179" s="11" t="s">
        <v>93</v>
      </c>
      <c r="B179" s="4">
        <f>IF(B178-D178+G178-(B178*($B$6+$H$6))+(C178*($C$6))&lt;0,0,B178-D178+G178-(B178*($B$6+$H$6))+(C178*($C$6)))</f>
        <v>217.03759999999997</v>
      </c>
      <c r="C179" s="4">
        <f>IF(C178-E178+H178-(C178*($C$6+$I$6))+(B178*($B$6))&lt;0,0,C178-E178+H178-(C178*($C$6+$I$6))+(B178*($B$6)))</f>
        <v>239.7954</v>
      </c>
      <c r="D179" s="4">
        <f>$D$7*B179</f>
        <v>21.703759999999999</v>
      </c>
      <c r="E179" s="4">
        <f>$E$7*C179</f>
        <v>35.96931</v>
      </c>
      <c r="F179" s="4">
        <f t="shared" si="50"/>
        <v>259.95632000000001</v>
      </c>
      <c r="G179" s="4">
        <f>$F$7*F178</f>
        <v>6.0684975000000003</v>
      </c>
      <c r="H179" s="4">
        <f>$G$7*F178</f>
        <v>8.091330000000001</v>
      </c>
      <c r="I179" s="4">
        <f>$H$7*B179+$I$7*C179</f>
        <v>0</v>
      </c>
      <c r="J179" s="4">
        <f t="shared" si="51"/>
        <v>0</v>
      </c>
      <c r="K179" s="32" t="s">
        <v>106</v>
      </c>
      <c r="L179" s="6">
        <f>SUM(B180:$B$187)</f>
        <v>902.40059973608572</v>
      </c>
      <c r="M179" s="6">
        <f>SUM(C180:$C$187)</f>
        <v>1767.7610810415913</v>
      </c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</row>
    <row r="180" spans="1:24" x14ac:dyDescent="0.25">
      <c r="A180" s="11" t="s">
        <v>94</v>
      </c>
      <c r="B180" s="4">
        <f>IF(B179-D179+G179-(B179*($B$7+$H$7))+(C179*($C$7))&lt;0,0,B179-D179+G179-(B179*($B$7+$H$7))+(C179*($C$7)))</f>
        <v>175.46322950000001</v>
      </c>
      <c r="C180" s="4">
        <f>IF(C179-E179+H179-(C179*($C$7+$I$7))+(B179*($B$7))&lt;0,0,C179-E179+H179-(C179*($C$7+$I$7))+(B179*($B$7)))</f>
        <v>237.856528</v>
      </c>
      <c r="D180" s="4">
        <f>$D$8*B180</f>
        <v>17.54632295</v>
      </c>
      <c r="E180" s="4">
        <f>$E$8*C180</f>
        <v>35.678479199999998</v>
      </c>
      <c r="F180" s="4">
        <f t="shared" si="50"/>
        <v>313.18112214999996</v>
      </c>
      <c r="G180" s="4">
        <f>$F$8*F179</f>
        <v>7.7986895999999994</v>
      </c>
      <c r="H180" s="4">
        <f>$G$8*F179</f>
        <v>12.997816</v>
      </c>
      <c r="I180" s="4">
        <f>$H$8*B180+$I$8*C180</f>
        <v>0</v>
      </c>
      <c r="J180" s="4">
        <f t="shared" si="51"/>
        <v>0</v>
      </c>
      <c r="K180" s="32" t="s">
        <v>107</v>
      </c>
      <c r="L180" s="6">
        <f>SUM(B181:$B$187)</f>
        <v>726.93737023608583</v>
      </c>
      <c r="M180" s="6">
        <f>SUM(C181:$C$187)</f>
        <v>1529.9045530415913</v>
      </c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</row>
    <row r="181" spans="1:24" x14ac:dyDescent="0.25">
      <c r="A181" s="11" t="s">
        <v>96</v>
      </c>
      <c r="B181" s="4">
        <f>IF(B180-D180+G180-(B180*($B$8+$H$8))+(C180*($C$8))&lt;0,0,B180-D180+G180-(B180*($B$8+$H$8))+(C180*($C$8)))</f>
        <v>147.39007387000001</v>
      </c>
      <c r="C181" s="4">
        <f>IF(C180-E180+H180-(C180*($C$8+$I$8))+(B180*($B$8))&lt;0,0,C180-E180+H180-(C180*($C$8+$I$8))+(B180*($B$8)))</f>
        <v>233.50138708</v>
      </c>
      <c r="D181" s="4">
        <f>$D$9*B181</f>
        <v>14.739007387000001</v>
      </c>
      <c r="E181" s="4">
        <f>$E$9*C181</f>
        <v>35.025208061999997</v>
      </c>
      <c r="F181" s="4">
        <f t="shared" si="50"/>
        <v>362.94533759899997</v>
      </c>
      <c r="G181" s="4">
        <f>$F$9*F180</f>
        <v>9.3954336644999987</v>
      </c>
      <c r="H181" s="4">
        <f>$G$9*F180</f>
        <v>15.6590561075</v>
      </c>
      <c r="I181" s="4">
        <f>$H$9*B181+$I$9*C181</f>
        <v>0</v>
      </c>
      <c r="J181" s="4">
        <f t="shared" si="51"/>
        <v>0</v>
      </c>
      <c r="K181" s="32" t="s">
        <v>108</v>
      </c>
      <c r="L181" s="6">
        <f>SUM(B182:$B$187)</f>
        <v>579.54729636608567</v>
      </c>
      <c r="M181" s="6">
        <f>SUM(C182:$C$187)</f>
        <v>1296.4031659615912</v>
      </c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</row>
    <row r="182" spans="1:24" x14ac:dyDescent="0.25">
      <c r="A182" s="11" t="s">
        <v>97</v>
      </c>
      <c r="B182" s="4">
        <f>IF(B181-D181+G181-(B181*($B$9+$H$9))+(C181*($C$9))&lt;0,0,B181-D181+G181-(B181*($B$9+$H$9))+(C181*($C$9)))</f>
        <v>128.54912038800001</v>
      </c>
      <c r="C182" s="4">
        <f>IF(C181-E181+H181-(C181*($C$9+$I$9))+(B181*($B$9))&lt;0,0,C181-E181+H181-(C181*($C$9+$I$9))+(B181*($B$9)))</f>
        <v>227.63261488500001</v>
      </c>
      <c r="D182" s="4">
        <f>$D$10*B182</f>
        <v>12.854912038800002</v>
      </c>
      <c r="E182" s="4">
        <f>$E$10*C182</f>
        <v>34.144892232750003</v>
      </c>
      <c r="F182" s="4">
        <f t="shared" si="50"/>
        <v>409.94514187055</v>
      </c>
      <c r="G182" s="4">
        <f>$F$10*F181</f>
        <v>10.88836012797</v>
      </c>
      <c r="H182" s="4">
        <f>$G$10*F181</f>
        <v>18.147266879949999</v>
      </c>
      <c r="I182" s="4">
        <f>$H$10*B182+$I$10*C182</f>
        <v>1.2854912038800002</v>
      </c>
      <c r="J182" s="4">
        <f t="shared" si="51"/>
        <v>1.2854912038800002</v>
      </c>
      <c r="K182" s="32" t="s">
        <v>109</v>
      </c>
      <c r="L182" s="6">
        <f>SUM(B183:$B$187)</f>
        <v>450.99817597808573</v>
      </c>
      <c r="M182" s="6">
        <f>SUM(C183:$C$187)</f>
        <v>1068.7705510765911</v>
      </c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</row>
    <row r="183" spans="1:24" x14ac:dyDescent="0.25">
      <c r="A183" s="11" t="s">
        <v>98</v>
      </c>
      <c r="B183" s="4">
        <f>IF(B182-D182+G182-(B182*($B$10+$H$10))+(C182*($C$10))&lt;0,0,B182-D182+G182-(B182*($B$10+$H$10))+(C182*($C$10)))</f>
        <v>114.63756746091002</v>
      </c>
      <c r="C183" s="4">
        <f>IF(C182-E182+H182-(C182*($C$10+$I$10))+(B182*($B$10))&lt;0,0,C182-E182+H182-(C182*($C$10+$I$10))+(B182*($B$10)))</f>
        <v>222.29449934458</v>
      </c>
      <c r="D183" s="4">
        <f>$D$11*B183</f>
        <v>11.463756746091002</v>
      </c>
      <c r="E183" s="4">
        <f>$E$11*C183</f>
        <v>33.344174901686998</v>
      </c>
      <c r="F183" s="4">
        <f t="shared" si="50"/>
        <v>454.75307351832799</v>
      </c>
      <c r="G183" s="4">
        <f>$F$11*F182</f>
        <v>12.2983542561165</v>
      </c>
      <c r="H183" s="4">
        <f>$G$11*F182</f>
        <v>20.497257093527502</v>
      </c>
      <c r="I183" s="4">
        <f>$H$11*B183+$I$11*C183</f>
        <v>2.2927513492182006</v>
      </c>
      <c r="J183" s="4">
        <f t="shared" si="51"/>
        <v>3.5782425530982005</v>
      </c>
      <c r="K183" s="32" t="s">
        <v>110</v>
      </c>
      <c r="L183" s="6">
        <f>SUM(B184:$B$187)</f>
        <v>336.36060851717571</v>
      </c>
      <c r="M183" s="6">
        <f>SUM(C184:$C$187)</f>
        <v>846.47605173201123</v>
      </c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</row>
    <row r="184" spans="1:24" x14ac:dyDescent="0.25">
      <c r="A184" s="11" t="s">
        <v>99</v>
      </c>
      <c r="B184" s="4">
        <f>IF(B183-D183+G183-(B183*($B$11+$H$11))+(C183*($C$11))&lt;0,0,B183-D183+G183-(B183*($B$11+$H$11))+(C183*($C$11)))</f>
        <v>104.45672034172959</v>
      </c>
      <c r="C184" s="4">
        <f>IF(C183-E183+H183-(C183*($C$11+$I$11))+(B183*($B$11))&lt;0,0,C183-E183+H183-(C183*($C$11+$I$11))+(B183*($B$11)))</f>
        <v>218.17027481640821</v>
      </c>
      <c r="D184" s="4">
        <f>$D$12*B184</f>
        <v>10.44567203417296</v>
      </c>
      <c r="E184" s="4">
        <f>$E$12*C184</f>
        <v>32.725541222461231</v>
      </c>
      <c r="F184" s="4">
        <f t="shared" si="50"/>
        <v>497.92428677496218</v>
      </c>
      <c r="G184" s="4">
        <f>$F$12*F183</f>
        <v>13.642592205549839</v>
      </c>
      <c r="H184" s="4">
        <f>$G$12*F183</f>
        <v>22.737653675916402</v>
      </c>
      <c r="I184" s="4">
        <f>$H$12*B184+$I$12*C184</f>
        <v>15.668508051259439</v>
      </c>
      <c r="J184" s="4">
        <f t="shared" si="51"/>
        <v>19.24675060435764</v>
      </c>
      <c r="K184" s="32" t="s">
        <v>111</v>
      </c>
      <c r="L184" s="6">
        <f>SUM(B185:$B$187)</f>
        <v>231.90388817544613</v>
      </c>
      <c r="M184" s="6">
        <f>SUM(C185:$C$187)</f>
        <v>628.30577691560302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</row>
    <row r="185" spans="1:24" x14ac:dyDescent="0.25">
      <c r="A185" s="11" t="s">
        <v>100</v>
      </c>
      <c r="B185" s="4">
        <f>IF(B184-D184+G184-(B184*($B$12+$H$12))+(C184*($C$12))&lt;0,0,B184-D184+G184-(B184*($B$12+$H$12))+(C184*($C$12)))</f>
        <v>84.554278247803552</v>
      </c>
      <c r="C185" s="4">
        <f>IF(C184-E184+H184-(C184*($C$12+$I$12))+(B184*($B$12))&lt;0,0,C184-E184+H184-(C184*($C$12+$I$12))+(B184*($B$12)))</f>
        <v>215.61324148390685</v>
      </c>
      <c r="D185" s="4">
        <f>$D$13*B185</f>
        <v>8.4554278247803563</v>
      </c>
      <c r="E185" s="4">
        <f>$E$13*C185</f>
        <v>32.341986222586023</v>
      </c>
      <c r="F185" s="4">
        <f t="shared" si="50"/>
        <v>538.72170082232856</v>
      </c>
      <c r="G185" s="4">
        <f>$F$13*F184</f>
        <v>14.937728603248864</v>
      </c>
      <c r="H185" s="4">
        <f>$G$13*F184</f>
        <v>24.896214338748109</v>
      </c>
      <c r="I185" s="4">
        <f>$H$13*B185+$I$13*C185</f>
        <v>12.683141737170532</v>
      </c>
      <c r="J185" s="4">
        <f t="shared" si="51"/>
        <v>31.929892341528173</v>
      </c>
      <c r="K185" s="32" t="s">
        <v>113</v>
      </c>
      <c r="L185" s="6">
        <f>SUM(B186:$B$187)</f>
        <v>147.34960992764258</v>
      </c>
      <c r="M185" s="6">
        <f>SUM(C186:$C$187)</f>
        <v>412.69253543169617</v>
      </c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</row>
    <row r="186" spans="1:24" x14ac:dyDescent="0.25">
      <c r="A186" s="11" t="s">
        <v>101</v>
      </c>
      <c r="B186" s="4">
        <f>IF(B185-D185+G185-(B185*($B$13+$H$13))+(C185*($C$13))&lt;0,0,B185-D185+G185-(B185*($B$13+$H$13))+(C185*($C$13)))</f>
        <v>75.394020745629177</v>
      </c>
      <c r="C186" s="4">
        <f>IF(C185-E185+H185-(C185*($C$13+$I$13))+(B185*($B$13))&lt;0,0,C185-E185+H185-(C185*($C$13+$I$13))+(B185*($B$13)))</f>
        <v>211.12688614354127</v>
      </c>
      <c r="D186" s="4">
        <f>$D$14*B186</f>
        <v>7.5394020745629184</v>
      </c>
      <c r="E186" s="4">
        <f>$E$14*C186</f>
        <v>31.669032921531191</v>
      </c>
      <c r="F186" s="4">
        <f t="shared" si="50"/>
        <v>577.93013581842263</v>
      </c>
      <c r="G186" s="4">
        <f>$F$14*F185</f>
        <v>16.161651024669855</v>
      </c>
      <c r="H186" s="4">
        <f>$G$14*F185</f>
        <v>26.936085041116428</v>
      </c>
      <c r="I186" s="4">
        <f>$H$14*B186+$I$14*C186</f>
        <v>17.642909696150614</v>
      </c>
      <c r="J186" s="4">
        <f t="shared" si="51"/>
        <v>49.572802037678784</v>
      </c>
      <c r="K186" s="32" t="s">
        <v>114</v>
      </c>
      <c r="L186" s="6">
        <f>SUM(B187:$B$187)</f>
        <v>71.955589182013398</v>
      </c>
      <c r="M186" s="6">
        <f>SUM(C187:$C$187)</f>
        <v>201.5656492881549</v>
      </c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</row>
    <row r="187" spans="1:24" x14ac:dyDescent="0.25">
      <c r="A187" s="11" t="s">
        <v>112</v>
      </c>
      <c r="B187" s="4">
        <f>IF(B186-D186+G186-(B186*($B$13+$H$13))+(C186*($C$13))&lt;0,0,B186-D186+G186-(B186*($B$13+$H$13))+(C186*($C$13)))</f>
        <v>71.955589182013398</v>
      </c>
      <c r="C187" s="4">
        <f>IF(C186-E186+H186-(C186*($C$14+$I$14))+(B186*($B$14))&lt;0,0,C186-E186+H186-(C186*($C$14+$I$14))+(B186*($B$14)))</f>
        <v>201.5656492881549</v>
      </c>
      <c r="D187" s="4">
        <f>$D$14*B187</f>
        <v>7.19555891820134</v>
      </c>
      <c r="E187" s="4">
        <f>$E$14*C187</f>
        <v>30.234847393223234</v>
      </c>
      <c r="F187" s="4">
        <f t="shared" ref="F187" si="52">F186+D187+E187</f>
        <v>615.3605421298472</v>
      </c>
      <c r="G187" s="4">
        <f>$F$15*F186</f>
        <v>17.337904074552679</v>
      </c>
      <c r="H187" s="4">
        <f>$G$15*F186</f>
        <v>28.896506790921134</v>
      </c>
      <c r="I187" s="4">
        <f>$H$14*B187+$I$14*C187</f>
        <v>16.840307855946655</v>
      </c>
      <c r="J187" s="4">
        <f t="shared" ref="J187" si="53">J186+I187</f>
        <v>66.413109893625432</v>
      </c>
      <c r="K187" s="91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</row>
    <row r="188" spans="1:24" x14ac:dyDescent="0.25">
      <c r="A188" s="83"/>
      <c r="B188" s="16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</row>
    <row r="189" spans="1:24" x14ac:dyDescent="0.25">
      <c r="A189" s="8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</row>
    <row r="190" spans="1:24" x14ac:dyDescent="0.25">
      <c r="A190" s="8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</row>
    <row r="191" spans="1:24" x14ac:dyDescent="0.25">
      <c r="A191" s="8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</row>
    <row r="192" spans="1:24" x14ac:dyDescent="0.25">
      <c r="A192" s="8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</row>
    <row r="193" spans="1:24" x14ac:dyDescent="0.25">
      <c r="A193" s="8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</row>
    <row r="194" spans="1:24" x14ac:dyDescent="0.25">
      <c r="A194" s="8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</row>
    <row r="195" spans="1:24" x14ac:dyDescent="0.25">
      <c r="A195" s="8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</row>
    <row r="196" spans="1:24" x14ac:dyDescent="0.25">
      <c r="A196" s="8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79827-F79B-4A0F-B59E-71A5D2918E4A}">
  <dimension ref="A1:P57"/>
  <sheetViews>
    <sheetView zoomScale="95" zoomScaleNormal="95" workbookViewId="0"/>
  </sheetViews>
  <sheetFormatPr defaultRowHeight="15" x14ac:dyDescent="0.25"/>
  <cols>
    <col min="1" max="1" width="49.42578125" customWidth="1"/>
    <col min="2" max="4" width="12.7109375" customWidth="1"/>
    <col min="5" max="7" width="13.28515625" customWidth="1"/>
    <col min="8" max="8" width="14.5703125" customWidth="1"/>
  </cols>
  <sheetData>
    <row r="1" spans="1:16" x14ac:dyDescent="0.25">
      <c r="A1" s="114" t="str">
        <f>Summary!A1</f>
        <v>Old Talc Mine State College</v>
      </c>
      <c r="B1" s="115"/>
      <c r="C1" s="115"/>
      <c r="D1" s="115" t="s">
        <v>152</v>
      </c>
      <c r="E1" s="115"/>
      <c r="F1" s="115"/>
      <c r="G1" s="115"/>
      <c r="H1" s="63"/>
      <c r="I1" s="13"/>
      <c r="J1" s="13"/>
      <c r="K1" s="13"/>
      <c r="L1" s="13"/>
      <c r="M1" s="13"/>
      <c r="N1" s="13"/>
      <c r="O1" s="13"/>
      <c r="P1" s="13"/>
    </row>
    <row r="2" spans="1:16" x14ac:dyDescent="0.25">
      <c r="A2" s="64" t="s">
        <v>156</v>
      </c>
      <c r="B2" s="151">
        <f>C2-1</f>
        <v>2021</v>
      </c>
      <c r="C2" s="151">
        <f>Summary!F3</f>
        <v>2022</v>
      </c>
      <c r="D2" s="151">
        <f>C2+1</f>
        <v>2023</v>
      </c>
      <c r="E2" s="151">
        <f>D2+1</f>
        <v>2024</v>
      </c>
      <c r="F2" s="151">
        <f>E2+1</f>
        <v>2025</v>
      </c>
      <c r="G2" s="151">
        <f>F2+1</f>
        <v>2026</v>
      </c>
      <c r="H2" s="154">
        <f>G2+1</f>
        <v>2027</v>
      </c>
      <c r="I2" s="29"/>
      <c r="J2" s="13"/>
      <c r="K2" s="13"/>
      <c r="L2" s="13"/>
      <c r="M2" s="13"/>
      <c r="N2" s="13"/>
      <c r="O2" s="13"/>
      <c r="P2" s="13"/>
    </row>
    <row r="3" spans="1:16" x14ac:dyDescent="0.25">
      <c r="A3" s="170" t="s">
        <v>329</v>
      </c>
      <c r="B3" s="221"/>
      <c r="C3" s="53"/>
      <c r="D3" s="53"/>
      <c r="E3" s="53"/>
      <c r="F3" s="53"/>
      <c r="G3" s="53"/>
      <c r="H3" s="171"/>
      <c r="I3" s="29"/>
      <c r="J3" s="13"/>
      <c r="K3" s="13"/>
      <c r="L3" s="13"/>
      <c r="M3" s="13"/>
      <c r="N3" s="13"/>
      <c r="O3" s="13"/>
      <c r="P3" s="13"/>
    </row>
    <row r="4" spans="1:16" x14ac:dyDescent="0.25">
      <c r="A4" s="64" t="s">
        <v>135</v>
      </c>
      <c r="B4" s="109">
        <v>5000000</v>
      </c>
      <c r="C4" s="22">
        <f>Cash!B17</f>
        <v>8232787.9343967717</v>
      </c>
      <c r="D4" s="22">
        <f>Cash!C17</f>
        <v>10416356.143972665</v>
      </c>
      <c r="E4" s="22">
        <f>Cash!D17</f>
        <v>8152088.8654375803</v>
      </c>
      <c r="F4" s="22">
        <f>Cash!E17</f>
        <v>1642231.3274828517</v>
      </c>
      <c r="G4" s="22">
        <f>Cash!F17</f>
        <v>-7588225.9642485548</v>
      </c>
      <c r="H4" s="66">
        <f>Cash!G17</f>
        <v>-19901173.741434351</v>
      </c>
      <c r="I4" s="13"/>
      <c r="J4" s="13"/>
      <c r="K4" s="13"/>
      <c r="L4" s="13"/>
      <c r="M4" s="13"/>
      <c r="N4" s="13"/>
      <c r="O4" s="13"/>
      <c r="P4" s="13"/>
    </row>
    <row r="5" spans="1:16" x14ac:dyDescent="0.25">
      <c r="A5" s="64" t="s">
        <v>136</v>
      </c>
      <c r="B5" s="109">
        <v>2200000</v>
      </c>
      <c r="C5" s="22">
        <f>$B$34*Summary!F29</f>
        <v>2958622.2664555293</v>
      </c>
      <c r="D5" s="22">
        <f>$B$34*Summary!G29</f>
        <v>2836198.9342337507</v>
      </c>
      <c r="E5" s="22">
        <f>$B$34*Summary!H29</f>
        <v>2685666.0696992092</v>
      </c>
      <c r="F5" s="22">
        <f>$B$34*Summary!I29</f>
        <v>2524424.7535407017</v>
      </c>
      <c r="G5" s="22">
        <f>$B$34*Summary!J29</f>
        <v>2484408.190226675</v>
      </c>
      <c r="H5" s="66">
        <f>$B$34*Summary!K29</f>
        <v>2326062.1592668854</v>
      </c>
      <c r="I5" s="13"/>
      <c r="J5" s="13"/>
      <c r="K5" s="13"/>
      <c r="L5" s="13"/>
      <c r="M5" s="13"/>
      <c r="N5" s="13"/>
      <c r="O5" s="13"/>
      <c r="P5" s="13"/>
    </row>
    <row r="6" spans="1:16" x14ac:dyDescent="0.25">
      <c r="A6" s="64" t="s">
        <v>138</v>
      </c>
      <c r="B6" s="109">
        <v>700000</v>
      </c>
      <c r="C6" s="5">
        <f>B6*(1+$B$35+Summary!$B$26)</f>
        <v>728000</v>
      </c>
      <c r="D6" s="5">
        <f>C6*(1+$B$35+Summary!$B$26)</f>
        <v>757120</v>
      </c>
      <c r="E6" s="5">
        <f>D6*(1+$B$35+Summary!$B$26)</f>
        <v>787404.80000000005</v>
      </c>
      <c r="F6" s="5">
        <f>E6*(1+$B$35+Summary!$B$26)</f>
        <v>818900.99200000009</v>
      </c>
      <c r="G6" s="5">
        <f>F6*(1+$B$35+Summary!$B$26)</f>
        <v>851657.03168000013</v>
      </c>
      <c r="H6" s="67">
        <f>G6*(1+$B$35+Summary!$B$26)</f>
        <v>885723.31294720015</v>
      </c>
      <c r="I6" s="13"/>
      <c r="J6" s="13"/>
      <c r="K6" s="13"/>
      <c r="L6" s="13"/>
      <c r="M6" s="13"/>
      <c r="N6" s="13"/>
      <c r="O6" s="13"/>
      <c r="P6" s="13"/>
    </row>
    <row r="7" spans="1:16" x14ac:dyDescent="0.25">
      <c r="A7" s="69" t="s">
        <v>139</v>
      </c>
      <c r="B7" s="116">
        <f t="shared" ref="B7:H7" si="0">SUM(B4:B6)</f>
        <v>7900000</v>
      </c>
      <c r="C7" s="116">
        <f t="shared" si="0"/>
        <v>11919410.200852301</v>
      </c>
      <c r="D7" s="116">
        <f t="shared" si="0"/>
        <v>14009675.078206416</v>
      </c>
      <c r="E7" s="116">
        <f t="shared" si="0"/>
        <v>11625159.73513679</v>
      </c>
      <c r="F7" s="116">
        <f t="shared" si="0"/>
        <v>4985557.0730235539</v>
      </c>
      <c r="G7" s="116">
        <f t="shared" si="0"/>
        <v>-4252160.7423418798</v>
      </c>
      <c r="H7" s="117">
        <f t="shared" si="0"/>
        <v>-16689388.269220265</v>
      </c>
      <c r="I7" s="13"/>
      <c r="J7" s="13"/>
      <c r="K7" s="13"/>
      <c r="L7" s="13"/>
      <c r="M7" s="13"/>
      <c r="N7" s="13"/>
      <c r="O7" s="13"/>
      <c r="P7" s="13"/>
    </row>
    <row r="8" spans="1:16" x14ac:dyDescent="0.25">
      <c r="A8" s="196"/>
      <c r="B8" s="118"/>
      <c r="C8" s="23"/>
      <c r="D8" s="23"/>
      <c r="E8" s="23"/>
      <c r="F8" s="23"/>
      <c r="G8" s="23"/>
      <c r="H8" s="119"/>
      <c r="I8" s="13"/>
      <c r="J8" s="13"/>
      <c r="K8" s="13"/>
      <c r="L8" s="13"/>
      <c r="M8" s="13"/>
      <c r="N8" s="13"/>
      <c r="O8" s="13"/>
      <c r="P8" s="13"/>
    </row>
    <row r="9" spans="1:16" x14ac:dyDescent="0.25">
      <c r="A9" s="64" t="s">
        <v>319</v>
      </c>
      <c r="B9" s="116">
        <f>Endow!B9</f>
        <v>25000000</v>
      </c>
      <c r="C9" s="116">
        <f>Endow!C9</f>
        <v>26700000</v>
      </c>
      <c r="D9" s="116">
        <f>Endow!D9</f>
        <v>26989583.333333332</v>
      </c>
      <c r="E9" s="116">
        <f>Endow!E9</f>
        <v>27739250</v>
      </c>
      <c r="F9" s="116">
        <f>Endow!F9</f>
        <v>28856819.444444444</v>
      </c>
      <c r="G9" s="116">
        <f>Endow!G9</f>
        <v>29996204.72222222</v>
      </c>
      <c r="H9" s="117">
        <f>Endow!H9</f>
        <v>31200224.259259257</v>
      </c>
      <c r="I9" s="13"/>
      <c r="J9" s="13"/>
      <c r="K9" s="13"/>
      <c r="L9" s="13"/>
      <c r="M9" s="13"/>
      <c r="N9" s="13"/>
      <c r="O9" s="13"/>
      <c r="P9" s="13"/>
    </row>
    <row r="10" spans="1:16" x14ac:dyDescent="0.25">
      <c r="A10" s="64" t="s">
        <v>320</v>
      </c>
      <c r="B10" s="116">
        <f>Plant!B12</f>
        <v>15050000</v>
      </c>
      <c r="C10" s="116">
        <f>Plant!C12</f>
        <v>14457333.333333332</v>
      </c>
      <c r="D10" s="116">
        <f>Plant!D12</f>
        <v>13843666.666666666</v>
      </c>
      <c r="E10" s="116">
        <f>Plant!E12</f>
        <v>18209000</v>
      </c>
      <c r="F10" s="116">
        <f>Plant!F12</f>
        <v>17386666.666666664</v>
      </c>
      <c r="G10" s="116">
        <f>Plant!G12</f>
        <v>16543333.333333332</v>
      </c>
      <c r="H10" s="117">
        <f>Plant!H12</f>
        <v>15678999.999999998</v>
      </c>
      <c r="I10" s="13"/>
      <c r="J10" s="13"/>
      <c r="K10" s="13"/>
      <c r="L10" s="13"/>
      <c r="M10" s="13"/>
      <c r="N10" s="13"/>
      <c r="O10" s="13"/>
      <c r="P10" s="13"/>
    </row>
    <row r="11" spans="1:16" x14ac:dyDescent="0.25">
      <c r="A11" s="64" t="s">
        <v>321</v>
      </c>
      <c r="B11" s="5">
        <f>Endow!B13</f>
        <v>1000000</v>
      </c>
      <c r="C11" s="5">
        <f>Endow!C13</f>
        <v>1010000</v>
      </c>
      <c r="D11" s="5">
        <f>Endow!D13</f>
        <v>1020100</v>
      </c>
      <c r="E11" s="5">
        <f>Endow!E13</f>
        <v>1030301</v>
      </c>
      <c r="F11" s="5">
        <f>Endow!F13</f>
        <v>1040604.01</v>
      </c>
      <c r="G11" s="5">
        <f>Endow!G13</f>
        <v>1051010.0501000001</v>
      </c>
      <c r="H11" s="67">
        <f>Endow!H13</f>
        <v>1061520.1506010001</v>
      </c>
      <c r="I11" s="13"/>
      <c r="J11" s="13"/>
      <c r="K11" s="13"/>
      <c r="L11" s="13"/>
      <c r="M11" s="13"/>
      <c r="N11" s="13"/>
      <c r="O11" s="13"/>
      <c r="P11" s="13"/>
    </row>
    <row r="12" spans="1:16" ht="15" customHeight="1" x14ac:dyDescent="0.25">
      <c r="A12" s="69" t="s">
        <v>322</v>
      </c>
      <c r="B12" s="116">
        <f>SUM(B9:B11)</f>
        <v>41050000</v>
      </c>
      <c r="C12" s="116">
        <f t="shared" ref="C12:H12" si="1">SUM(C9:C11)</f>
        <v>42167333.333333328</v>
      </c>
      <c r="D12" s="116">
        <f t="shared" si="1"/>
        <v>41853350</v>
      </c>
      <c r="E12" s="116">
        <f t="shared" si="1"/>
        <v>46978551</v>
      </c>
      <c r="F12" s="116">
        <f t="shared" si="1"/>
        <v>47284090.121111102</v>
      </c>
      <c r="G12" s="116">
        <f t="shared" si="1"/>
        <v>47590548.105655551</v>
      </c>
      <c r="H12" s="117">
        <f t="shared" si="1"/>
        <v>47940744.409860253</v>
      </c>
      <c r="I12" s="13"/>
      <c r="J12" s="13"/>
      <c r="K12" s="13"/>
      <c r="L12" s="13"/>
      <c r="M12" s="13"/>
      <c r="N12" s="13"/>
      <c r="O12" s="13"/>
      <c r="P12" s="13"/>
    </row>
    <row r="13" spans="1:16" x14ac:dyDescent="0.25">
      <c r="A13" s="196"/>
      <c r="B13" s="118"/>
      <c r="C13" s="23"/>
      <c r="D13" s="23"/>
      <c r="E13" s="23"/>
      <c r="F13" s="23"/>
      <c r="G13" s="23"/>
      <c r="H13" s="119"/>
      <c r="I13" s="13"/>
      <c r="J13" s="13"/>
      <c r="K13" s="13"/>
      <c r="L13" s="13"/>
      <c r="M13" s="13"/>
      <c r="N13" s="13"/>
      <c r="O13" s="13"/>
      <c r="P13" s="13"/>
    </row>
    <row r="14" spans="1:16" x14ac:dyDescent="0.25">
      <c r="A14" s="69" t="s">
        <v>158</v>
      </c>
      <c r="B14" s="120">
        <f t="shared" ref="B14:H14" si="2">B7+B12</f>
        <v>48950000</v>
      </c>
      <c r="C14" s="120">
        <f t="shared" si="2"/>
        <v>54086743.534185633</v>
      </c>
      <c r="D14" s="120">
        <f t="shared" si="2"/>
        <v>55863025.07820642</v>
      </c>
      <c r="E14" s="120">
        <f t="shared" si="2"/>
        <v>58603710.735136792</v>
      </c>
      <c r="F14" s="120">
        <f t="shared" si="2"/>
        <v>52269647.194134653</v>
      </c>
      <c r="G14" s="120">
        <f t="shared" si="2"/>
        <v>43338387.363313675</v>
      </c>
      <c r="H14" s="121">
        <f t="shared" si="2"/>
        <v>31251356.140639991</v>
      </c>
      <c r="I14" s="13"/>
      <c r="J14" s="13"/>
      <c r="K14" s="13"/>
      <c r="L14" s="13"/>
      <c r="M14" s="13"/>
      <c r="N14" s="13"/>
      <c r="O14" s="13"/>
      <c r="P14" s="13"/>
    </row>
    <row r="15" spans="1:16" x14ac:dyDescent="0.25">
      <c r="A15" s="64" t="s">
        <v>323</v>
      </c>
      <c r="B15" s="116">
        <f>Endow!B15</f>
        <v>3000000</v>
      </c>
      <c r="C15" s="116">
        <f>Endow!C15</f>
        <v>3060000</v>
      </c>
      <c r="D15" s="116">
        <f>Endow!D15</f>
        <v>3121200</v>
      </c>
      <c r="E15" s="116">
        <f>Endow!E15</f>
        <v>3183624</v>
      </c>
      <c r="F15" s="116">
        <f>Endow!F15</f>
        <v>3247296.48</v>
      </c>
      <c r="G15" s="116">
        <f>Endow!G15</f>
        <v>3312242.4095999999</v>
      </c>
      <c r="H15" s="117">
        <f>Endow!H15</f>
        <v>3378487.2577919997</v>
      </c>
      <c r="I15" s="13"/>
      <c r="J15" s="13"/>
      <c r="K15" s="13"/>
      <c r="L15" s="13"/>
      <c r="M15" s="13"/>
      <c r="N15" s="13"/>
      <c r="O15" s="13"/>
      <c r="P15" s="13"/>
    </row>
    <row r="16" spans="1:16" x14ac:dyDescent="0.25">
      <c r="A16" s="196"/>
      <c r="B16" s="118"/>
      <c r="C16" s="23"/>
      <c r="D16" s="23"/>
      <c r="E16" s="23"/>
      <c r="F16" s="23"/>
      <c r="G16" s="23"/>
      <c r="H16" s="119"/>
      <c r="I16" s="13"/>
      <c r="J16" s="13"/>
      <c r="K16" s="13"/>
      <c r="L16" s="13"/>
      <c r="M16" s="13"/>
      <c r="N16" s="13"/>
      <c r="O16" s="13"/>
      <c r="P16" s="13"/>
    </row>
    <row r="17" spans="1:16" x14ac:dyDescent="0.25">
      <c r="A17" s="170" t="s">
        <v>328</v>
      </c>
      <c r="B17" s="118"/>
      <c r="C17" s="118"/>
      <c r="D17" s="118"/>
      <c r="E17" s="118"/>
      <c r="F17" s="118"/>
      <c r="G17" s="118"/>
      <c r="H17" s="231"/>
      <c r="I17" s="13"/>
      <c r="J17" s="13"/>
      <c r="K17" s="13"/>
      <c r="L17" s="13"/>
      <c r="M17" s="13"/>
      <c r="N17" s="13"/>
      <c r="O17" s="13"/>
      <c r="P17" s="13"/>
    </row>
    <row r="18" spans="1:16" x14ac:dyDescent="0.25">
      <c r="A18" s="64" t="s">
        <v>330</v>
      </c>
      <c r="B18" s="18">
        <f>Plant!C17</f>
        <v>400000</v>
      </c>
      <c r="C18" s="18">
        <f>Plant!D17</f>
        <v>300000</v>
      </c>
      <c r="D18" s="18">
        <f>Plant!E17</f>
        <v>300000</v>
      </c>
      <c r="E18" s="18">
        <f>Plant!F17</f>
        <v>400000</v>
      </c>
      <c r="F18" s="18">
        <f>Plant!G17</f>
        <v>600000</v>
      </c>
      <c r="G18" s="18">
        <f>Plant!H17</f>
        <v>600000</v>
      </c>
      <c r="H18" s="68">
        <f>Plant!I17</f>
        <v>700000</v>
      </c>
      <c r="I18" s="13"/>
      <c r="J18" s="13"/>
      <c r="K18" s="13"/>
      <c r="L18" s="13"/>
      <c r="M18" s="13"/>
      <c r="N18" s="13"/>
      <c r="O18" s="13"/>
      <c r="P18" s="13"/>
    </row>
    <row r="19" spans="1:16" x14ac:dyDescent="0.25">
      <c r="A19" s="64" t="s">
        <v>331</v>
      </c>
      <c r="B19" s="222">
        <v>6500000</v>
      </c>
      <c r="C19" s="5">
        <f>$B$36*Summary!F43</f>
        <v>7035084.7509657973</v>
      </c>
      <c r="D19" s="5">
        <f>$B$36*Summary!G43</f>
        <v>7106175.6013327548</v>
      </c>
      <c r="E19" s="5">
        <f>$B$36*Summary!H43</f>
        <v>7248529.4120186623</v>
      </c>
      <c r="F19" s="5">
        <f>$B$36*Summary!I43</f>
        <v>7339136.8496152144</v>
      </c>
      <c r="G19" s="5">
        <f>$B$36*Summary!J43</f>
        <v>7564027.423903306</v>
      </c>
      <c r="H19" s="67">
        <f>$B$36*Summary!K43</f>
        <v>7528570.9826061875</v>
      </c>
      <c r="I19" s="13"/>
      <c r="J19" s="13"/>
      <c r="K19" s="13"/>
      <c r="L19" s="13"/>
      <c r="M19" s="13"/>
      <c r="N19" s="13"/>
      <c r="O19" s="13"/>
      <c r="P19" s="13"/>
    </row>
    <row r="20" spans="1:16" x14ac:dyDescent="0.25">
      <c r="A20" s="69" t="s">
        <v>333</v>
      </c>
      <c r="B20" s="116">
        <f>SUM(B18:B19)</f>
        <v>6900000</v>
      </c>
      <c r="C20" s="116">
        <f t="shared" ref="C20:H20" si="3">SUM(C18:C19)</f>
        <v>7335084.7509657973</v>
      </c>
      <c r="D20" s="116">
        <f t="shared" si="3"/>
        <v>7406175.6013327548</v>
      </c>
      <c r="E20" s="116">
        <f t="shared" si="3"/>
        <v>7648529.4120186623</v>
      </c>
      <c r="F20" s="116">
        <f t="shared" si="3"/>
        <v>7939136.8496152144</v>
      </c>
      <c r="G20" s="116">
        <f t="shared" si="3"/>
        <v>8164027.423903306</v>
      </c>
      <c r="H20" s="117">
        <f t="shared" si="3"/>
        <v>8228570.9826061875</v>
      </c>
      <c r="I20" s="13"/>
      <c r="J20" s="13"/>
      <c r="K20" s="13"/>
      <c r="L20" s="13"/>
      <c r="M20" s="13"/>
      <c r="N20" s="13"/>
      <c r="O20" s="13"/>
      <c r="P20" s="13"/>
    </row>
    <row r="21" spans="1:16" x14ac:dyDescent="0.25">
      <c r="A21" s="197"/>
      <c r="B21" s="118"/>
      <c r="C21" s="118"/>
      <c r="D21" s="118"/>
      <c r="E21" s="118"/>
      <c r="F21" s="118"/>
      <c r="G21" s="118"/>
      <c r="H21" s="231"/>
      <c r="I21" s="13"/>
      <c r="J21" s="13"/>
      <c r="K21" s="13"/>
      <c r="L21" s="13"/>
      <c r="M21" s="13"/>
      <c r="N21" s="13"/>
      <c r="O21" s="13"/>
      <c r="P21" s="13"/>
    </row>
    <row r="22" spans="1:16" ht="15" customHeight="1" x14ac:dyDescent="0.25">
      <c r="A22" s="64" t="s">
        <v>334</v>
      </c>
      <c r="B22" s="18">
        <f>Plant!B18-Plant!C17</f>
        <v>4300000</v>
      </c>
      <c r="C22" s="18">
        <f>Plant!C18-Plant!D17</f>
        <v>4000000</v>
      </c>
      <c r="D22" s="18">
        <f>Plant!D18-Plant!E17</f>
        <v>3700000</v>
      </c>
      <c r="E22" s="18">
        <f>Plant!E18-Plant!F17</f>
        <v>8300000</v>
      </c>
      <c r="F22" s="18">
        <f>Plant!F18-Plant!G17</f>
        <v>7700000</v>
      </c>
      <c r="G22" s="18">
        <f>Plant!G18-Plant!H17</f>
        <v>7100000</v>
      </c>
      <c r="H22" s="68">
        <f>Plant!H18-Plant!I17</f>
        <v>6400000</v>
      </c>
      <c r="I22" s="13"/>
      <c r="J22" s="13"/>
      <c r="K22" s="13"/>
      <c r="L22" s="13"/>
      <c r="M22" s="13"/>
      <c r="N22" s="13"/>
      <c r="O22" s="13"/>
      <c r="P22" s="13"/>
    </row>
    <row r="23" spans="1:16" ht="15" customHeight="1" x14ac:dyDescent="0.25">
      <c r="A23" s="64" t="s">
        <v>335</v>
      </c>
      <c r="B23" s="19">
        <f>Endow!B17</f>
        <v>50000</v>
      </c>
      <c r="C23" s="19">
        <f>Endow!C17</f>
        <v>50249.999999999993</v>
      </c>
      <c r="D23" s="19">
        <f>Endow!D17</f>
        <v>50501.249999999985</v>
      </c>
      <c r="E23" s="19">
        <f>Endow!E17</f>
        <v>50753.756249999977</v>
      </c>
      <c r="F23" s="19">
        <f>Endow!F17</f>
        <v>51007.52503124997</v>
      </c>
      <c r="G23" s="19">
        <f>Endow!G17</f>
        <v>51262.562656406211</v>
      </c>
      <c r="H23" s="232">
        <f>Endow!H17</f>
        <v>51518.875469688239</v>
      </c>
      <c r="I23" s="13"/>
      <c r="J23" s="13"/>
      <c r="K23" s="13"/>
      <c r="L23" s="13"/>
      <c r="M23" s="13"/>
      <c r="N23" s="13"/>
      <c r="O23" s="13"/>
      <c r="P23" s="13"/>
    </row>
    <row r="24" spans="1:16" ht="15" customHeight="1" x14ac:dyDescent="0.25">
      <c r="A24" s="69" t="s">
        <v>336</v>
      </c>
      <c r="B24" s="18">
        <f>SUM(B22:B23)</f>
        <v>4350000</v>
      </c>
      <c r="C24" s="18">
        <f t="shared" ref="C24:H24" si="4">SUM(C22:C23)</f>
        <v>4050250</v>
      </c>
      <c r="D24" s="18">
        <f t="shared" si="4"/>
        <v>3750501.25</v>
      </c>
      <c r="E24" s="18">
        <f t="shared" si="4"/>
        <v>8350753.7562499996</v>
      </c>
      <c r="F24" s="18">
        <f t="shared" si="4"/>
        <v>7751007.52503125</v>
      </c>
      <c r="G24" s="18">
        <f t="shared" si="4"/>
        <v>7151262.5626564063</v>
      </c>
      <c r="H24" s="68">
        <f t="shared" si="4"/>
        <v>6451518.8754696883</v>
      </c>
      <c r="I24" s="13"/>
      <c r="J24" s="13"/>
      <c r="K24" s="13"/>
      <c r="L24" s="13"/>
      <c r="M24" s="13"/>
      <c r="N24" s="13"/>
      <c r="O24" s="13"/>
      <c r="P24" s="13"/>
    </row>
    <row r="25" spans="1:16" x14ac:dyDescent="0.25">
      <c r="A25" s="197"/>
      <c r="B25" s="122"/>
      <c r="C25" s="29"/>
      <c r="D25" s="29"/>
      <c r="E25" s="29"/>
      <c r="F25" s="29"/>
      <c r="G25" s="29"/>
      <c r="H25" s="56"/>
      <c r="I25" s="13"/>
      <c r="J25" s="13"/>
      <c r="K25" s="13"/>
      <c r="L25" s="13"/>
      <c r="M25" s="13"/>
      <c r="N25" s="13"/>
      <c r="O25" s="13"/>
      <c r="P25" s="13"/>
    </row>
    <row r="26" spans="1:16" x14ac:dyDescent="0.25">
      <c r="A26" s="69" t="s">
        <v>159</v>
      </c>
      <c r="B26" s="123">
        <f>B20+B24</f>
        <v>11250000</v>
      </c>
      <c r="C26" s="123">
        <f t="shared" ref="C26:H26" si="5">C20+C24</f>
        <v>11385334.750965796</v>
      </c>
      <c r="D26" s="123">
        <f t="shared" si="5"/>
        <v>11156676.851332754</v>
      </c>
      <c r="E26" s="123">
        <f t="shared" si="5"/>
        <v>15999283.168268662</v>
      </c>
      <c r="F26" s="123">
        <f t="shared" si="5"/>
        <v>15690144.374646464</v>
      </c>
      <c r="G26" s="123">
        <f t="shared" si="5"/>
        <v>15315289.986559711</v>
      </c>
      <c r="H26" s="233">
        <f t="shared" si="5"/>
        <v>14680089.858075876</v>
      </c>
      <c r="I26" s="13"/>
      <c r="J26" s="13"/>
      <c r="K26" s="13"/>
      <c r="L26" s="13"/>
      <c r="M26" s="13"/>
      <c r="N26" s="13"/>
      <c r="O26" s="13"/>
      <c r="P26" s="13"/>
    </row>
    <row r="27" spans="1:16" x14ac:dyDescent="0.25">
      <c r="A27" s="64" t="s">
        <v>337</v>
      </c>
      <c r="B27" s="223">
        <f>Endow!B19</f>
        <v>500000</v>
      </c>
      <c r="C27" s="223">
        <f>Endow!C19</f>
        <v>505000</v>
      </c>
      <c r="D27" s="223">
        <f>Endow!D19</f>
        <v>510050</v>
      </c>
      <c r="E27" s="223">
        <f>Endow!E19</f>
        <v>515150.5</v>
      </c>
      <c r="F27" s="223">
        <f>Endow!F19</f>
        <v>520302.005</v>
      </c>
      <c r="G27" s="223">
        <f>Endow!G19</f>
        <v>525505.02505000005</v>
      </c>
      <c r="H27" s="234">
        <f>Endow!H19</f>
        <v>530760.07530050003</v>
      </c>
      <c r="I27" s="13"/>
      <c r="J27" s="13"/>
      <c r="K27" s="13"/>
      <c r="L27" s="13"/>
      <c r="M27" s="13"/>
      <c r="N27" s="13"/>
      <c r="O27" s="13"/>
      <c r="P27" s="13"/>
    </row>
    <row r="28" spans="1:16" x14ac:dyDescent="0.25">
      <c r="A28" s="69" t="s">
        <v>338</v>
      </c>
      <c r="B28" s="113">
        <f>(B14+B15)-(B26+B27)</f>
        <v>40200000</v>
      </c>
      <c r="C28" s="113">
        <f>(C14+C15)-(C26+C27)</f>
        <v>45256408.783219837</v>
      </c>
      <c r="D28" s="113">
        <f t="shared" ref="D28:H28" si="6">(D14+D15)-(D26+D27)</f>
        <v>47317498.226873666</v>
      </c>
      <c r="E28" s="113">
        <f t="shared" si="6"/>
        <v>45272901.066868126</v>
      </c>
      <c r="F28" s="113">
        <f t="shared" si="6"/>
        <v>39306497.294488184</v>
      </c>
      <c r="G28" s="113">
        <f t="shared" si="6"/>
        <v>30809834.761303961</v>
      </c>
      <c r="H28" s="235">
        <f t="shared" si="6"/>
        <v>19418993.465055611</v>
      </c>
      <c r="I28" s="13"/>
      <c r="J28" s="13"/>
      <c r="K28" s="13"/>
      <c r="L28" s="13"/>
      <c r="M28" s="13"/>
      <c r="N28" s="13"/>
      <c r="O28" s="13"/>
      <c r="P28" s="13"/>
    </row>
    <row r="29" spans="1:16" ht="15.75" thickBot="1" x14ac:dyDescent="0.3">
      <c r="A29" s="124" t="s">
        <v>148</v>
      </c>
      <c r="B29" s="125"/>
      <c r="C29" s="71">
        <f t="shared" ref="C29:H29" si="7">C28-B28</f>
        <v>5056408.7832198367</v>
      </c>
      <c r="D29" s="71">
        <f t="shared" si="7"/>
        <v>2061089.4436538294</v>
      </c>
      <c r="E29" s="71">
        <f t="shared" si="7"/>
        <v>-2044597.1600055397</v>
      </c>
      <c r="F29" s="71">
        <f t="shared" si="7"/>
        <v>-5966403.7723799422</v>
      </c>
      <c r="G29" s="71">
        <f t="shared" si="7"/>
        <v>-8496662.5331842229</v>
      </c>
      <c r="H29" s="72">
        <f t="shared" si="7"/>
        <v>-11390841.29624835</v>
      </c>
      <c r="I29" s="13"/>
      <c r="J29" s="13"/>
      <c r="K29" s="13"/>
      <c r="L29" s="13"/>
      <c r="M29" s="13"/>
      <c r="N29" s="13"/>
      <c r="O29" s="13"/>
      <c r="P29" s="13"/>
    </row>
    <row r="30" spans="1:16" x14ac:dyDescent="0.25">
      <c r="A30" s="11" t="s">
        <v>149</v>
      </c>
      <c r="B30" s="99"/>
      <c r="C30" s="4">
        <f>Summary!F45</f>
        <v>5056408.7832198367</v>
      </c>
      <c r="D30" s="4">
        <f>Summary!G45</f>
        <v>2061089.4436538219</v>
      </c>
      <c r="E30" s="4">
        <f>Summary!H45</f>
        <v>-2044597.1600055322</v>
      </c>
      <c r="F30" s="4">
        <f>Summary!I45</f>
        <v>-5966403.7723799273</v>
      </c>
      <c r="G30" s="4">
        <f>Summary!J45</f>
        <v>-8496662.5331842378</v>
      </c>
      <c r="H30" s="4">
        <f>Summary!K45</f>
        <v>-11390841.296248347</v>
      </c>
      <c r="I30" s="13"/>
      <c r="J30" s="13"/>
      <c r="K30" s="13"/>
      <c r="L30" s="13"/>
      <c r="M30" s="13"/>
      <c r="N30" s="13"/>
      <c r="O30" s="13"/>
      <c r="P30" s="13"/>
    </row>
    <row r="31" spans="1:16" x14ac:dyDescent="0.25">
      <c r="A31" s="11" t="s">
        <v>150</v>
      </c>
      <c r="B31" s="99"/>
      <c r="C31" s="110">
        <f t="shared" ref="C31:H31" si="8">C29-C30</f>
        <v>0</v>
      </c>
      <c r="D31" s="110">
        <f t="shared" si="8"/>
        <v>7.4505805969238281E-9</v>
      </c>
      <c r="E31" s="110">
        <f t="shared" si="8"/>
        <v>-7.4505805969238281E-9</v>
      </c>
      <c r="F31" s="110">
        <f t="shared" si="8"/>
        <v>-1.4901161193847656E-8</v>
      </c>
      <c r="G31" s="110">
        <f t="shared" si="8"/>
        <v>1.4901161193847656E-8</v>
      </c>
      <c r="H31" s="110">
        <f t="shared" si="8"/>
        <v>0</v>
      </c>
      <c r="I31" s="13"/>
      <c r="J31" s="13"/>
      <c r="K31" s="13"/>
      <c r="L31" s="13"/>
      <c r="M31" s="13"/>
      <c r="N31" s="13"/>
      <c r="O31" s="13"/>
      <c r="P31" s="13"/>
    </row>
    <row r="32" spans="1:16" x14ac:dyDescent="0.25">
      <c r="A32" s="99"/>
      <c r="B32" s="99"/>
      <c r="C32" s="112"/>
      <c r="D32" s="112"/>
      <c r="E32" s="112"/>
      <c r="F32" s="112"/>
      <c r="G32" s="112"/>
      <c r="H32" s="112"/>
      <c r="I32" s="13"/>
      <c r="J32" s="13"/>
      <c r="K32" s="13"/>
      <c r="L32" s="13"/>
      <c r="M32" s="13"/>
      <c r="N32" s="13"/>
      <c r="O32" s="13"/>
      <c r="P32" s="13"/>
    </row>
    <row r="33" spans="1:16" x14ac:dyDescent="0.25">
      <c r="A33" s="12" t="s">
        <v>151</v>
      </c>
      <c r="B33" s="99"/>
      <c r="C33" s="112"/>
      <c r="D33" s="112"/>
      <c r="E33" s="112"/>
      <c r="F33" s="112"/>
      <c r="G33" s="112"/>
      <c r="H33" s="112"/>
      <c r="I33" s="13"/>
      <c r="J33" s="13"/>
      <c r="K33" s="13"/>
      <c r="L33" s="13"/>
      <c r="M33" s="13"/>
      <c r="N33" s="13"/>
      <c r="O33" s="13"/>
      <c r="P33" s="13"/>
    </row>
    <row r="34" spans="1:16" x14ac:dyDescent="0.25">
      <c r="A34" s="40" t="s">
        <v>137</v>
      </c>
      <c r="B34" s="174">
        <v>0.05</v>
      </c>
      <c r="C34" s="16"/>
      <c r="D34" s="16"/>
      <c r="E34" s="16"/>
      <c r="F34" s="16"/>
      <c r="G34" s="16"/>
      <c r="H34" s="16"/>
      <c r="I34" s="13"/>
      <c r="J34" s="13"/>
      <c r="K34" s="13"/>
      <c r="L34" s="13"/>
      <c r="M34" s="13"/>
      <c r="N34" s="13"/>
      <c r="O34" s="13"/>
      <c r="P34" s="13"/>
    </row>
    <row r="35" spans="1:16" x14ac:dyDescent="0.25">
      <c r="A35" s="40" t="s">
        <v>332</v>
      </c>
      <c r="B35" s="174">
        <v>0.02</v>
      </c>
      <c r="C35" s="175" t="s">
        <v>252</v>
      </c>
      <c r="D35" s="16"/>
      <c r="E35" s="16"/>
      <c r="F35" s="16"/>
      <c r="G35" s="16"/>
      <c r="H35" s="16"/>
      <c r="I35" s="13"/>
      <c r="J35" s="13"/>
      <c r="K35" s="13"/>
      <c r="L35" s="13"/>
      <c r="M35" s="13"/>
      <c r="N35" s="13"/>
      <c r="O35" s="13"/>
      <c r="P35" s="13"/>
    </row>
    <row r="36" spans="1:16" x14ac:dyDescent="0.25">
      <c r="A36" s="40" t="s">
        <v>140</v>
      </c>
      <c r="B36" s="174">
        <v>0.13</v>
      </c>
      <c r="C36" s="13"/>
      <c r="D36" s="176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</row>
    <row r="37" spans="1:16" s="13" customFormat="1" x14ac:dyDescent="0.25"/>
    <row r="38" spans="1:16" s="13" customFormat="1" x14ac:dyDescent="0.25"/>
    <row r="39" spans="1:16" s="13" customFormat="1" x14ac:dyDescent="0.25"/>
    <row r="40" spans="1:16" s="13" customFormat="1" x14ac:dyDescent="0.25"/>
    <row r="41" spans="1:16" s="13" customFormat="1" x14ac:dyDescent="0.25"/>
    <row r="42" spans="1:16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</row>
    <row r="43" spans="1:16" x14ac:dyDescent="0.25">
      <c r="A43" s="13"/>
      <c r="B43" s="13"/>
      <c r="C43" s="16"/>
      <c r="D43" s="16"/>
      <c r="E43" s="16"/>
      <c r="F43" s="16"/>
      <c r="G43" s="16"/>
      <c r="H43" s="16"/>
      <c r="I43" s="13"/>
      <c r="J43" s="13"/>
      <c r="K43" s="13"/>
      <c r="L43" s="13"/>
      <c r="M43" s="13"/>
      <c r="N43" s="13"/>
      <c r="O43" s="13"/>
      <c r="P43" s="13"/>
    </row>
    <row r="44" spans="1:16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</row>
    <row r="45" spans="1:16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</row>
    <row r="46" spans="1:16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</row>
    <row r="47" spans="1:16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</row>
    <row r="48" spans="1:16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</row>
    <row r="49" spans="1:16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</row>
    <row r="50" spans="1:16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</row>
    <row r="51" spans="1:16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</row>
    <row r="52" spans="1:16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</row>
    <row r="53" spans="1:16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</row>
    <row r="54" spans="1:16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</row>
    <row r="55" spans="1:16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</row>
    <row r="56" spans="1:16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</row>
    <row r="57" spans="1:16" x14ac:dyDescent="0.25">
      <c r="A57" s="13"/>
      <c r="B57" s="13"/>
      <c r="C57" s="13"/>
      <c r="D57" s="13"/>
      <c r="E57" s="13"/>
      <c r="F57" s="13"/>
      <c r="G57" s="13"/>
      <c r="H57" s="13"/>
    </row>
  </sheetData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A41D9-C4F4-4735-ACF4-7A142597FB54}">
  <dimension ref="A1:S53"/>
  <sheetViews>
    <sheetView workbookViewId="0"/>
  </sheetViews>
  <sheetFormatPr defaultRowHeight="15" x14ac:dyDescent="0.25"/>
  <cols>
    <col min="1" max="1" width="48.42578125" customWidth="1"/>
    <col min="2" max="2" width="11.42578125" customWidth="1"/>
    <col min="3" max="8" width="11.7109375" customWidth="1"/>
  </cols>
  <sheetData>
    <row r="1" spans="1:19" x14ac:dyDescent="0.25">
      <c r="A1" s="73" t="str">
        <f>Summary!A1</f>
        <v>Old Talc Mine State College</v>
      </c>
      <c r="B1" s="8"/>
      <c r="C1" s="8"/>
      <c r="D1" s="9" t="s">
        <v>224</v>
      </c>
      <c r="E1" s="8"/>
      <c r="F1" s="8"/>
      <c r="G1" s="8"/>
      <c r="H1" s="8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19" x14ac:dyDescent="0.25">
      <c r="A2" s="10" t="str">
        <f>BalSheet!A2</f>
        <v>Year End:</v>
      </c>
      <c r="B2" s="198">
        <f>C2-1</f>
        <v>2021</v>
      </c>
      <c r="C2" s="151">
        <f>Summary!F3</f>
        <v>2022</v>
      </c>
      <c r="D2" s="151">
        <f>Summary!G3</f>
        <v>2023</v>
      </c>
      <c r="E2" s="151">
        <f>Summary!H3</f>
        <v>2024</v>
      </c>
      <c r="F2" s="151">
        <f>Summary!I3</f>
        <v>2025</v>
      </c>
      <c r="G2" s="151">
        <f>Summary!J3</f>
        <v>2026</v>
      </c>
      <c r="H2" s="151">
        <f>Summary!K3</f>
        <v>2027</v>
      </c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x14ac:dyDescent="0.25">
      <c r="A3" s="10" t="s">
        <v>225</v>
      </c>
      <c r="B3" s="2">
        <v>25000000</v>
      </c>
      <c r="C3" s="4">
        <f>B3+B6-B7</f>
        <v>26700000</v>
      </c>
      <c r="D3" s="4">
        <f>C3+C6-C7</f>
        <v>26989583.333333332</v>
      </c>
      <c r="E3" s="4">
        <f>D3+D6-D7</f>
        <v>27739250</v>
      </c>
      <c r="F3" s="4">
        <f t="shared" ref="F3:H3" si="0">E3+E6-E7</f>
        <v>28856819.444444444</v>
      </c>
      <c r="G3" s="4">
        <f t="shared" si="0"/>
        <v>29996204.72222222</v>
      </c>
      <c r="H3" s="4">
        <f t="shared" si="0"/>
        <v>31200224.259259257</v>
      </c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x14ac:dyDescent="0.25">
      <c r="A4" s="10" t="s">
        <v>226</v>
      </c>
      <c r="B4" s="144">
        <f>Summary!B22</f>
        <v>0.09</v>
      </c>
      <c r="C4" s="33">
        <f>B4</f>
        <v>0.09</v>
      </c>
      <c r="D4" s="33">
        <f t="shared" ref="D4:H5" si="1">C4</f>
        <v>0.09</v>
      </c>
      <c r="E4" s="33">
        <f t="shared" si="1"/>
        <v>0.09</v>
      </c>
      <c r="F4" s="33">
        <f t="shared" si="1"/>
        <v>0.09</v>
      </c>
      <c r="G4" s="33">
        <f t="shared" si="1"/>
        <v>0.09</v>
      </c>
      <c r="H4" s="33">
        <f t="shared" si="1"/>
        <v>0.09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5" spans="1:19" x14ac:dyDescent="0.25">
      <c r="A5" s="10" t="s">
        <v>228</v>
      </c>
      <c r="B5" s="144">
        <f>Summary!B23</f>
        <v>0.05</v>
      </c>
      <c r="C5" s="33">
        <f>B5</f>
        <v>0.05</v>
      </c>
      <c r="D5" s="33">
        <f t="shared" si="1"/>
        <v>0.05</v>
      </c>
      <c r="E5" s="33">
        <f t="shared" si="1"/>
        <v>0.05</v>
      </c>
      <c r="F5" s="33">
        <f t="shared" si="1"/>
        <v>0.05</v>
      </c>
      <c r="G5" s="33">
        <f t="shared" si="1"/>
        <v>0.05</v>
      </c>
      <c r="H5" s="33">
        <f t="shared" si="1"/>
        <v>0.05</v>
      </c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</row>
    <row r="6" spans="1:19" x14ac:dyDescent="0.25">
      <c r="A6" s="10" t="s">
        <v>230</v>
      </c>
      <c r="B6" s="145">
        <v>3000000</v>
      </c>
      <c r="C6" s="140">
        <f>B3*C4</f>
        <v>2250000</v>
      </c>
      <c r="D6" s="140">
        <f t="shared" ref="D6:H6" si="2">C3*D4</f>
        <v>2403000</v>
      </c>
      <c r="E6" s="140">
        <f t="shared" si="2"/>
        <v>2429062.5</v>
      </c>
      <c r="F6" s="140">
        <f t="shared" si="2"/>
        <v>2496532.5</v>
      </c>
      <c r="G6" s="140">
        <f t="shared" si="2"/>
        <v>2597113.75</v>
      </c>
      <c r="H6" s="140">
        <f t="shared" si="2"/>
        <v>2699658.4249999998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x14ac:dyDescent="0.25">
      <c r="A7" s="10" t="s">
        <v>231</v>
      </c>
      <c r="B7" s="145">
        <v>1300000</v>
      </c>
      <c r="C7" s="140">
        <f>C5*(B23+B22+B3)/3</f>
        <v>1960416.6666666667</v>
      </c>
      <c r="D7" s="140">
        <f>D5*(B22+B3+C3)/3</f>
        <v>1653333.3333333333</v>
      </c>
      <c r="E7" s="140">
        <f>E5*(B3+C3+D3)/3</f>
        <v>1311493.0555555555</v>
      </c>
      <c r="F7" s="140">
        <f t="shared" ref="F7:H7" si="3">F5*(C3+D3+E3)/3</f>
        <v>1357147.2222222222</v>
      </c>
      <c r="G7" s="140">
        <f t="shared" si="3"/>
        <v>1393094.2129629629</v>
      </c>
      <c r="H7" s="140">
        <f t="shared" si="3"/>
        <v>1443204.5694444447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</row>
    <row r="8" spans="1:19" x14ac:dyDescent="0.25">
      <c r="A8" s="10" t="s">
        <v>263</v>
      </c>
      <c r="B8" s="31">
        <v>1</v>
      </c>
      <c r="C8" s="33">
        <f>B8</f>
        <v>1</v>
      </c>
      <c r="D8" s="33">
        <f t="shared" ref="D8:H8" si="4">C8</f>
        <v>1</v>
      </c>
      <c r="E8" s="33">
        <f t="shared" si="4"/>
        <v>1</v>
      </c>
      <c r="F8" s="33">
        <f t="shared" si="4"/>
        <v>1</v>
      </c>
      <c r="G8" s="33">
        <f t="shared" si="4"/>
        <v>1</v>
      </c>
      <c r="H8" s="33">
        <f t="shared" si="4"/>
        <v>1</v>
      </c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19" x14ac:dyDescent="0.25">
      <c r="A9" s="10" t="s">
        <v>264</v>
      </c>
      <c r="B9" s="4">
        <f>B3*B8</f>
        <v>25000000</v>
      </c>
      <c r="C9" s="4">
        <f t="shared" ref="C9:H9" si="5">C3*C8</f>
        <v>26700000</v>
      </c>
      <c r="D9" s="4">
        <f t="shared" si="5"/>
        <v>26989583.333333332</v>
      </c>
      <c r="E9" s="4">
        <f t="shared" si="5"/>
        <v>27739250</v>
      </c>
      <c r="F9" s="4">
        <f t="shared" si="5"/>
        <v>28856819.444444444</v>
      </c>
      <c r="G9" s="4">
        <f t="shared" si="5"/>
        <v>29996204.72222222</v>
      </c>
      <c r="H9" s="4">
        <f t="shared" si="5"/>
        <v>31200224.259259257</v>
      </c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19" x14ac:dyDescent="0.25">
      <c r="A10" s="10" t="s">
        <v>232</v>
      </c>
      <c r="B10" s="6">
        <f t="shared" ref="B10:H10" si="6">B6*B8</f>
        <v>3000000</v>
      </c>
      <c r="C10" s="6">
        <f t="shared" si="6"/>
        <v>2250000</v>
      </c>
      <c r="D10" s="6">
        <f t="shared" si="6"/>
        <v>2403000</v>
      </c>
      <c r="E10" s="6">
        <f t="shared" si="6"/>
        <v>2429062.5</v>
      </c>
      <c r="F10" s="6">
        <f t="shared" si="6"/>
        <v>2496532.5</v>
      </c>
      <c r="G10" s="6">
        <f t="shared" si="6"/>
        <v>2597113.75</v>
      </c>
      <c r="H10" s="6">
        <f t="shared" si="6"/>
        <v>2699658.4249999998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1:19" x14ac:dyDescent="0.25">
      <c r="A11" s="10" t="s">
        <v>233</v>
      </c>
      <c r="B11" s="140">
        <f t="shared" ref="B11:H11" si="7">B7*B8</f>
        <v>1300000</v>
      </c>
      <c r="C11" s="140">
        <f t="shared" si="7"/>
        <v>1960416.6666666667</v>
      </c>
      <c r="D11" s="140">
        <f t="shared" si="7"/>
        <v>1653333.3333333333</v>
      </c>
      <c r="E11" s="140">
        <f t="shared" si="7"/>
        <v>1311493.0555555555</v>
      </c>
      <c r="F11" s="140">
        <f t="shared" si="7"/>
        <v>1357147.2222222222</v>
      </c>
      <c r="G11" s="140">
        <f t="shared" si="7"/>
        <v>1393094.2129629629</v>
      </c>
      <c r="H11" s="140">
        <f t="shared" si="7"/>
        <v>1443204.5694444447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x14ac:dyDescent="0.25">
      <c r="A12" s="83"/>
      <c r="B12" s="13"/>
      <c r="C12" s="13"/>
      <c r="D12" s="13"/>
      <c r="E12" s="13"/>
      <c r="F12" s="13"/>
      <c r="G12" s="13"/>
      <c r="H12" s="8"/>
      <c r="I12" s="128" t="s">
        <v>344</v>
      </c>
      <c r="J12" s="8"/>
      <c r="K12" s="8"/>
      <c r="L12" s="13"/>
      <c r="M12" s="13"/>
      <c r="N12" s="13"/>
      <c r="O12" s="13"/>
      <c r="P12" s="13"/>
      <c r="Q12" s="13"/>
      <c r="R12" s="13"/>
      <c r="S12" s="13"/>
    </row>
    <row r="13" spans="1:19" x14ac:dyDescent="0.25">
      <c r="A13" s="129" t="s">
        <v>324</v>
      </c>
      <c r="B13" s="2">
        <v>1000000</v>
      </c>
      <c r="C13" s="4">
        <f>B13*(1+$I$13)</f>
        <v>1010000</v>
      </c>
      <c r="D13" s="4">
        <f t="shared" ref="D13:H13" si="8">C13*(1+$I$13)</f>
        <v>1020100</v>
      </c>
      <c r="E13" s="4">
        <f t="shared" si="8"/>
        <v>1030301</v>
      </c>
      <c r="F13" s="4">
        <f t="shared" si="8"/>
        <v>1040604.01</v>
      </c>
      <c r="G13" s="4">
        <f t="shared" si="8"/>
        <v>1051010.0501000001</v>
      </c>
      <c r="H13" s="4">
        <f t="shared" si="8"/>
        <v>1061520.1506010001</v>
      </c>
      <c r="I13" s="31">
        <v>0.01</v>
      </c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x14ac:dyDescent="0.25">
      <c r="A14" s="236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spans="1:19" x14ac:dyDescent="0.25">
      <c r="A15" s="40" t="s">
        <v>325</v>
      </c>
      <c r="B15" s="2">
        <v>3000000</v>
      </c>
      <c r="C15" s="4">
        <f>B15*(1+$I$15)</f>
        <v>3060000</v>
      </c>
      <c r="D15" s="4">
        <f t="shared" ref="D15:H15" si="9">C15*(1+$I$15)</f>
        <v>3121200</v>
      </c>
      <c r="E15" s="4">
        <f t="shared" si="9"/>
        <v>3183624</v>
      </c>
      <c r="F15" s="4">
        <f t="shared" si="9"/>
        <v>3247296.48</v>
      </c>
      <c r="G15" s="4">
        <f t="shared" si="9"/>
        <v>3312242.4095999999</v>
      </c>
      <c r="H15" s="4">
        <f t="shared" si="9"/>
        <v>3378487.2577919997</v>
      </c>
      <c r="I15" s="31">
        <v>0.02</v>
      </c>
      <c r="J15" s="13"/>
      <c r="K15" s="13"/>
      <c r="L15" s="13"/>
      <c r="M15" s="13"/>
      <c r="N15" s="13"/>
      <c r="O15" s="13"/>
      <c r="P15" s="13"/>
      <c r="Q15" s="13"/>
      <c r="R15" s="13"/>
      <c r="S15" s="13"/>
    </row>
    <row r="16" spans="1:19" x14ac:dyDescent="0.25">
      <c r="A16" s="236"/>
      <c r="B16" s="23"/>
      <c r="C16" s="60"/>
      <c r="D16" s="60"/>
      <c r="E16" s="60"/>
      <c r="F16" s="60"/>
      <c r="G16" s="60"/>
      <c r="H16" s="60"/>
      <c r="I16" s="220"/>
      <c r="J16" s="13"/>
      <c r="K16" s="13"/>
      <c r="L16" s="13"/>
      <c r="M16" s="13"/>
      <c r="N16" s="13"/>
      <c r="O16" s="13"/>
      <c r="P16" s="13"/>
      <c r="Q16" s="13"/>
      <c r="R16" s="13"/>
      <c r="S16" s="13"/>
    </row>
    <row r="17" spans="1:19" x14ac:dyDescent="0.25">
      <c r="A17" s="129" t="s">
        <v>326</v>
      </c>
      <c r="B17" s="2">
        <v>50000</v>
      </c>
      <c r="C17" s="4">
        <f>B17*(1+$I$17)</f>
        <v>50249.999999999993</v>
      </c>
      <c r="D17" s="4">
        <f t="shared" ref="D17:H17" si="10">C17*(1+$I$17)</f>
        <v>50501.249999999985</v>
      </c>
      <c r="E17" s="4">
        <f t="shared" si="10"/>
        <v>50753.756249999977</v>
      </c>
      <c r="F17" s="4">
        <f t="shared" si="10"/>
        <v>51007.52503124997</v>
      </c>
      <c r="G17" s="4">
        <f t="shared" si="10"/>
        <v>51262.562656406211</v>
      </c>
      <c r="H17" s="4">
        <f t="shared" si="10"/>
        <v>51518.875469688239</v>
      </c>
      <c r="I17" s="31">
        <v>5.0000000000000001E-3</v>
      </c>
      <c r="J17" s="13"/>
      <c r="K17" s="13"/>
      <c r="L17" s="13"/>
      <c r="M17" s="13"/>
      <c r="N17" s="13"/>
      <c r="O17" s="13"/>
      <c r="P17" s="13"/>
      <c r="Q17" s="13"/>
      <c r="R17" s="13"/>
      <c r="S17" s="13"/>
    </row>
    <row r="18" spans="1:19" x14ac:dyDescent="0.25">
      <c r="A18" s="236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</row>
    <row r="19" spans="1:19" x14ac:dyDescent="0.25">
      <c r="A19" s="129" t="s">
        <v>327</v>
      </c>
      <c r="B19" s="2">
        <v>500000</v>
      </c>
      <c r="C19" s="4">
        <f>B19*(1+$I$19)</f>
        <v>505000</v>
      </c>
      <c r="D19" s="4">
        <f t="shared" ref="D19:H19" si="11">C19*(1+$I$19)</f>
        <v>510050</v>
      </c>
      <c r="E19" s="4">
        <f t="shared" si="11"/>
        <v>515150.5</v>
      </c>
      <c r="F19" s="4">
        <f t="shared" si="11"/>
        <v>520302.005</v>
      </c>
      <c r="G19" s="4">
        <f t="shared" si="11"/>
        <v>525505.02505000005</v>
      </c>
      <c r="H19" s="4">
        <f t="shared" si="11"/>
        <v>530760.07530050003</v>
      </c>
      <c r="I19" s="31">
        <v>0.01</v>
      </c>
      <c r="J19" s="13"/>
      <c r="K19" s="13"/>
      <c r="L19" s="13"/>
      <c r="M19" s="13"/>
      <c r="N19" s="13"/>
      <c r="O19" s="13"/>
      <c r="P19" s="13"/>
      <c r="Q19" s="13"/>
      <c r="R19" s="13"/>
      <c r="S19" s="13"/>
    </row>
    <row r="20" spans="1:19" x14ac:dyDescent="0.25">
      <c r="A20" s="8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</row>
    <row r="21" spans="1:19" x14ac:dyDescent="0.25">
      <c r="A21" s="193" t="s">
        <v>269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</row>
    <row r="22" spans="1:19" x14ac:dyDescent="0.25">
      <c r="A22" s="150" t="str">
        <f>"Year end "&amp; TEXT(B2-1,0)</f>
        <v>Year end 2020</v>
      </c>
      <c r="B22" s="2">
        <v>47500000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</row>
    <row r="23" spans="1:19" x14ac:dyDescent="0.25">
      <c r="A23" s="150" t="str">
        <f>"Year end "&amp; TEXT(B2-2,0)</f>
        <v>Year end 2019</v>
      </c>
      <c r="B23" s="2">
        <v>45125000.000000007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</row>
    <row r="24" spans="1:19" x14ac:dyDescent="0.25">
      <c r="A24" s="8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</row>
    <row r="25" spans="1:19" x14ac:dyDescent="0.25">
      <c r="A25" s="8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</row>
    <row r="26" spans="1:19" x14ac:dyDescent="0.25">
      <c r="A26" s="8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</row>
    <row r="27" spans="1:19" x14ac:dyDescent="0.25">
      <c r="A27" s="8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</row>
    <row r="28" spans="1:19" x14ac:dyDescent="0.25">
      <c r="A28" s="8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</row>
    <row r="29" spans="1:19" x14ac:dyDescent="0.25">
      <c r="A29" s="8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spans="1:19" x14ac:dyDescent="0.25">
      <c r="A30" s="8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</row>
    <row r="31" spans="1:19" x14ac:dyDescent="0.25">
      <c r="A31" s="8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</row>
    <row r="32" spans="1:19" x14ac:dyDescent="0.25">
      <c r="A32" s="8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</row>
    <row r="33" spans="1:19" x14ac:dyDescent="0.25">
      <c r="A33" s="8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</row>
    <row r="34" spans="1:19" x14ac:dyDescent="0.25">
      <c r="A34" s="8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</row>
    <row r="35" spans="1:19" x14ac:dyDescent="0.25">
      <c r="A35" s="8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</row>
    <row r="36" spans="1:19" x14ac:dyDescent="0.25">
      <c r="A36" s="8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</row>
    <row r="37" spans="1:19" x14ac:dyDescent="0.25">
      <c r="A37" s="8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</row>
    <row r="38" spans="1:19" x14ac:dyDescent="0.25">
      <c r="A38" s="8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</row>
    <row r="39" spans="1:19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</row>
    <row r="40" spans="1:19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</row>
    <row r="41" spans="1:19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1:19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1:19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</row>
    <row r="44" spans="1:19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</row>
    <row r="45" spans="1:19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</row>
    <row r="46" spans="1:19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</row>
    <row r="47" spans="1:19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</row>
    <row r="48" spans="1:19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</row>
    <row r="49" spans="1:19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1:19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1:19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</row>
    <row r="52" spans="1:19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</row>
    <row r="53" spans="1:19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</row>
  </sheetData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955E6-1161-4428-905C-E50946D2126A}">
  <dimension ref="A1:P43"/>
  <sheetViews>
    <sheetView workbookViewId="0"/>
  </sheetViews>
  <sheetFormatPr defaultRowHeight="15" x14ac:dyDescent="0.25"/>
  <cols>
    <col min="1" max="1" width="51.85546875" customWidth="1"/>
    <col min="2" max="2" width="13.28515625" bestFit="1" customWidth="1"/>
    <col min="3" max="3" width="11.7109375" customWidth="1"/>
    <col min="4" max="9" width="11.85546875" customWidth="1"/>
  </cols>
  <sheetData>
    <row r="1" spans="1:16" ht="15.75" x14ac:dyDescent="0.25">
      <c r="A1" s="98" t="str">
        <f>Summary!A1</f>
        <v>Old Talc Mine State College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x14ac:dyDescent="0.25">
      <c r="A2" s="11" t="s">
        <v>271</v>
      </c>
      <c r="B2" s="148">
        <f>C2-1</f>
        <v>2021</v>
      </c>
      <c r="C2" s="148">
        <f>Summary!F3</f>
        <v>2022</v>
      </c>
      <c r="D2" s="148">
        <f>Summary!G3</f>
        <v>2023</v>
      </c>
      <c r="E2" s="148">
        <f>Summary!H3</f>
        <v>2024</v>
      </c>
      <c r="F2" s="148">
        <f>Summary!I3</f>
        <v>2025</v>
      </c>
      <c r="G2" s="148">
        <f>Summary!J3</f>
        <v>2026</v>
      </c>
      <c r="H2" s="148">
        <f>Summary!K3</f>
        <v>2027</v>
      </c>
      <c r="I2" s="9" t="s">
        <v>235</v>
      </c>
      <c r="J2" s="13"/>
      <c r="K2" s="13"/>
      <c r="L2" s="13"/>
      <c r="M2" s="13"/>
      <c r="N2" s="13"/>
      <c r="O2" s="13"/>
      <c r="P2" s="13"/>
    </row>
    <row r="3" spans="1:16" x14ac:dyDescent="0.25">
      <c r="A3" s="10" t="s">
        <v>160</v>
      </c>
      <c r="B3" s="149">
        <v>1000000</v>
      </c>
      <c r="C3" s="6">
        <f>B3</f>
        <v>1000000</v>
      </c>
      <c r="D3" s="6">
        <f t="shared" ref="D3:H3" si="0">C3</f>
        <v>1000000</v>
      </c>
      <c r="E3" s="6">
        <f t="shared" si="0"/>
        <v>1000000</v>
      </c>
      <c r="F3" s="6">
        <f t="shared" si="0"/>
        <v>1000000</v>
      </c>
      <c r="G3" s="6">
        <f t="shared" si="0"/>
        <v>1000000</v>
      </c>
      <c r="H3" s="6">
        <f t="shared" si="0"/>
        <v>1000000</v>
      </c>
      <c r="I3" s="106"/>
      <c r="J3" s="13"/>
      <c r="K3" s="13"/>
      <c r="L3" s="13"/>
      <c r="M3" s="13"/>
      <c r="N3" s="13"/>
      <c r="O3" s="13"/>
      <c r="P3" s="13"/>
    </row>
    <row r="4" spans="1:16" x14ac:dyDescent="0.25">
      <c r="A4" s="10" t="s">
        <v>161</v>
      </c>
      <c r="B4" s="2">
        <v>20000000</v>
      </c>
      <c r="C4" s="6">
        <f>B4+B7</f>
        <v>20000000</v>
      </c>
      <c r="D4" s="6">
        <f t="shared" ref="D4:H4" si="1">C4+C7</f>
        <v>20000000</v>
      </c>
      <c r="E4" s="6">
        <f t="shared" si="1"/>
        <v>20000000</v>
      </c>
      <c r="F4" s="6">
        <f t="shared" si="1"/>
        <v>25000000</v>
      </c>
      <c r="G4" s="6">
        <f t="shared" si="1"/>
        <v>25000000</v>
      </c>
      <c r="H4" s="6">
        <f t="shared" si="1"/>
        <v>25000000</v>
      </c>
      <c r="I4" s="3">
        <v>30</v>
      </c>
      <c r="J4" s="13"/>
      <c r="K4" s="13"/>
      <c r="L4" s="13"/>
      <c r="M4" s="13"/>
      <c r="N4" s="13"/>
      <c r="O4" s="13"/>
      <c r="P4" s="13"/>
    </row>
    <row r="5" spans="1:16" x14ac:dyDescent="0.25">
      <c r="A5" s="10" t="s">
        <v>162</v>
      </c>
      <c r="B5" s="2">
        <v>1000000</v>
      </c>
      <c r="C5" s="6">
        <f>B5+B6</f>
        <v>1200000</v>
      </c>
      <c r="D5" s="6">
        <f t="shared" ref="D5:H5" si="2">C5+C6</f>
        <v>1400000</v>
      </c>
      <c r="E5" s="6">
        <f t="shared" si="2"/>
        <v>1600000</v>
      </c>
      <c r="F5" s="6">
        <f t="shared" si="2"/>
        <v>1800000</v>
      </c>
      <c r="G5" s="6">
        <f t="shared" si="2"/>
        <v>2000000</v>
      </c>
      <c r="H5" s="6">
        <f t="shared" si="2"/>
        <v>2200000</v>
      </c>
      <c r="I5" s="3">
        <v>10</v>
      </c>
      <c r="J5" s="13"/>
      <c r="K5" s="13"/>
      <c r="L5" s="13"/>
      <c r="M5" s="13"/>
      <c r="N5" s="13"/>
      <c r="O5" s="13"/>
      <c r="P5" s="13"/>
    </row>
    <row r="6" spans="1:16" x14ac:dyDescent="0.25">
      <c r="A6" s="10" t="s">
        <v>236</v>
      </c>
      <c r="B6" s="2">
        <v>200000</v>
      </c>
      <c r="C6" s="6">
        <f>B6</f>
        <v>200000</v>
      </c>
      <c r="D6" s="6">
        <f t="shared" ref="D6:H6" si="3">C6</f>
        <v>200000</v>
      </c>
      <c r="E6" s="6">
        <f t="shared" si="3"/>
        <v>200000</v>
      </c>
      <c r="F6" s="6">
        <f t="shared" si="3"/>
        <v>200000</v>
      </c>
      <c r="G6" s="6">
        <f t="shared" si="3"/>
        <v>200000</v>
      </c>
      <c r="H6" s="6">
        <f t="shared" si="3"/>
        <v>200000</v>
      </c>
      <c r="I6" s="16"/>
      <c r="J6" s="13"/>
      <c r="K6" s="13"/>
      <c r="L6" s="13"/>
      <c r="M6" s="13"/>
      <c r="N6" s="13"/>
      <c r="O6" s="13"/>
      <c r="P6" s="13"/>
    </row>
    <row r="7" spans="1:16" x14ac:dyDescent="0.25">
      <c r="A7" s="10" t="s">
        <v>163</v>
      </c>
      <c r="B7" s="2">
        <v>0</v>
      </c>
      <c r="C7" s="2">
        <v>0</v>
      </c>
      <c r="D7" s="2">
        <v>0</v>
      </c>
      <c r="E7" s="2">
        <v>5000000</v>
      </c>
      <c r="F7" s="2">
        <v>0</v>
      </c>
      <c r="G7" s="2">
        <v>0</v>
      </c>
      <c r="H7" s="2">
        <v>0</v>
      </c>
      <c r="I7" s="13"/>
      <c r="J7" s="13"/>
      <c r="K7" s="13"/>
      <c r="L7" s="13"/>
      <c r="M7" s="13"/>
      <c r="N7" s="13"/>
      <c r="O7" s="13"/>
      <c r="P7" s="13"/>
    </row>
    <row r="8" spans="1:16" x14ac:dyDescent="0.25">
      <c r="A8" s="10" t="s">
        <v>164</v>
      </c>
      <c r="B8" s="2">
        <v>50000</v>
      </c>
      <c r="C8" s="6">
        <f>B8+B9</f>
        <v>55000</v>
      </c>
      <c r="D8" s="6">
        <f t="shared" ref="D8:H8" si="4">C8+C9</f>
        <v>60000</v>
      </c>
      <c r="E8" s="6">
        <f t="shared" si="4"/>
        <v>65000</v>
      </c>
      <c r="F8" s="6">
        <f t="shared" si="4"/>
        <v>70000</v>
      </c>
      <c r="G8" s="6">
        <f t="shared" si="4"/>
        <v>75000</v>
      </c>
      <c r="H8" s="6">
        <f t="shared" si="4"/>
        <v>80000</v>
      </c>
      <c r="I8" s="3">
        <v>5</v>
      </c>
      <c r="J8" s="13"/>
      <c r="K8" s="13"/>
      <c r="L8" s="13"/>
      <c r="M8" s="13"/>
      <c r="N8" s="13"/>
      <c r="O8" s="13"/>
      <c r="P8" s="13"/>
    </row>
    <row r="9" spans="1:16" x14ac:dyDescent="0.25">
      <c r="A9" s="10" t="s">
        <v>237</v>
      </c>
      <c r="B9" s="2">
        <v>5000</v>
      </c>
      <c r="C9" s="2">
        <v>5000</v>
      </c>
      <c r="D9" s="2">
        <v>5000</v>
      </c>
      <c r="E9" s="2">
        <v>5000</v>
      </c>
      <c r="F9" s="2">
        <v>5000</v>
      </c>
      <c r="G9" s="2">
        <v>5000</v>
      </c>
      <c r="H9" s="2">
        <v>5000</v>
      </c>
      <c r="I9" s="13"/>
      <c r="J9" s="13"/>
      <c r="K9" s="13"/>
      <c r="L9" s="13"/>
      <c r="M9" s="13"/>
      <c r="N9" s="13"/>
      <c r="O9" s="13"/>
      <c r="P9" s="13"/>
    </row>
    <row r="10" spans="1:16" x14ac:dyDescent="0.25">
      <c r="A10" s="10" t="s">
        <v>165</v>
      </c>
      <c r="B10" s="6">
        <f>B3+B4+B5+B7+B8</f>
        <v>22050000</v>
      </c>
      <c r="C10" s="6">
        <f t="shared" ref="C10:H10" si="5">C3+C4+C5+C7+C8</f>
        <v>22255000</v>
      </c>
      <c r="D10" s="6">
        <f t="shared" si="5"/>
        <v>22460000</v>
      </c>
      <c r="E10" s="6">
        <f t="shared" si="5"/>
        <v>27665000</v>
      </c>
      <c r="F10" s="6">
        <f t="shared" si="5"/>
        <v>27870000</v>
      </c>
      <c r="G10" s="6">
        <f t="shared" si="5"/>
        <v>28075000</v>
      </c>
      <c r="H10" s="6">
        <f t="shared" si="5"/>
        <v>28280000</v>
      </c>
      <c r="I10" s="13"/>
      <c r="J10" s="13"/>
      <c r="K10" s="13"/>
      <c r="L10" s="13"/>
      <c r="M10" s="13"/>
      <c r="N10" s="13"/>
      <c r="O10" s="13"/>
      <c r="P10" s="13"/>
    </row>
    <row r="11" spans="1:16" x14ac:dyDescent="0.25">
      <c r="A11" s="10" t="s">
        <v>166</v>
      </c>
      <c r="B11" s="2">
        <v>7000000</v>
      </c>
      <c r="C11" s="5">
        <f>B11+C4/$I$4+C5/$I$5+C8/$I$8</f>
        <v>7797666.666666667</v>
      </c>
      <c r="D11" s="5">
        <f t="shared" ref="D11:H11" si="6">C11+D4/$I$4+D5/$I$5+D8/$I$8</f>
        <v>8616333.333333334</v>
      </c>
      <c r="E11" s="5">
        <f t="shared" si="6"/>
        <v>9456000</v>
      </c>
      <c r="F11" s="5">
        <f t="shared" si="6"/>
        <v>10483333.333333334</v>
      </c>
      <c r="G11" s="5">
        <f t="shared" si="6"/>
        <v>11531666.666666668</v>
      </c>
      <c r="H11" s="5">
        <f t="shared" si="6"/>
        <v>12601000.000000002</v>
      </c>
      <c r="I11" s="13"/>
      <c r="J11" s="13"/>
      <c r="K11" s="13"/>
      <c r="L11" s="13"/>
      <c r="M11" s="13"/>
      <c r="N11" s="13"/>
      <c r="O11" s="13"/>
      <c r="P11" s="13"/>
    </row>
    <row r="12" spans="1:16" x14ac:dyDescent="0.25">
      <c r="A12" s="10" t="s">
        <v>167</v>
      </c>
      <c r="B12" s="6">
        <f>B10-B11</f>
        <v>15050000</v>
      </c>
      <c r="C12" s="6">
        <f t="shared" ref="C12:H12" si="7">C10-C11</f>
        <v>14457333.333333332</v>
      </c>
      <c r="D12" s="6">
        <f t="shared" si="7"/>
        <v>13843666.666666666</v>
      </c>
      <c r="E12" s="6">
        <f t="shared" si="7"/>
        <v>18209000</v>
      </c>
      <c r="F12" s="6">
        <f t="shared" si="7"/>
        <v>17386666.666666664</v>
      </c>
      <c r="G12" s="6">
        <f t="shared" si="7"/>
        <v>16543333.333333332</v>
      </c>
      <c r="H12" s="6">
        <f t="shared" si="7"/>
        <v>15678999.999999998</v>
      </c>
      <c r="I12" s="13"/>
      <c r="J12" s="13"/>
      <c r="K12" s="13"/>
      <c r="L12" s="13"/>
      <c r="M12" s="13"/>
      <c r="N12" s="13"/>
      <c r="O12" s="13"/>
      <c r="P12" s="13"/>
    </row>
    <row r="13" spans="1:16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16" x14ac:dyDescent="0.25">
      <c r="A14" s="40" t="s">
        <v>270</v>
      </c>
      <c r="B14" s="11">
        <f>BalSheet!B2</f>
        <v>2021</v>
      </c>
      <c r="C14" s="11">
        <f>BalSheet!C2</f>
        <v>2022</v>
      </c>
      <c r="D14" s="11">
        <f>BalSheet!D2</f>
        <v>2023</v>
      </c>
      <c r="E14" s="11">
        <f>BalSheet!E2</f>
        <v>2024</v>
      </c>
      <c r="F14" s="11">
        <f>BalSheet!F2</f>
        <v>2025</v>
      </c>
      <c r="G14" s="11">
        <f>BalSheet!G2</f>
        <v>2026</v>
      </c>
      <c r="H14" s="11">
        <f>BalSheet!H2</f>
        <v>2027</v>
      </c>
      <c r="I14" s="11">
        <f>H14+1</f>
        <v>2028</v>
      </c>
      <c r="J14" s="13"/>
      <c r="K14" s="13"/>
      <c r="L14" s="13"/>
      <c r="M14" s="13"/>
      <c r="N14" s="13"/>
      <c r="O14" s="13"/>
      <c r="P14" s="13"/>
    </row>
    <row r="15" spans="1:16" x14ac:dyDescent="0.25">
      <c r="A15" s="11" t="s">
        <v>144</v>
      </c>
      <c r="B15" s="2">
        <v>5000000</v>
      </c>
      <c r="C15" s="6">
        <f t="shared" ref="C15:H15" si="8">B18</f>
        <v>4700000</v>
      </c>
      <c r="D15" s="6">
        <f t="shared" si="8"/>
        <v>4300000</v>
      </c>
      <c r="E15" s="6">
        <f t="shared" si="8"/>
        <v>4000000</v>
      </c>
      <c r="F15" s="6">
        <f t="shared" si="8"/>
        <v>8700000</v>
      </c>
      <c r="G15" s="6">
        <f t="shared" si="8"/>
        <v>8300000</v>
      </c>
      <c r="H15" s="6">
        <f t="shared" si="8"/>
        <v>7700000</v>
      </c>
      <c r="I15" s="13"/>
      <c r="J15" s="13"/>
      <c r="K15" s="13"/>
      <c r="L15" s="13"/>
      <c r="M15" s="13"/>
      <c r="N15" s="13"/>
      <c r="O15" s="13"/>
      <c r="P15" s="13"/>
    </row>
    <row r="16" spans="1:16" x14ac:dyDescent="0.25">
      <c r="A16" s="111" t="s">
        <v>142</v>
      </c>
      <c r="B16" s="22">
        <f>B7</f>
        <v>0</v>
      </c>
      <c r="C16" s="22">
        <f t="shared" ref="C16:H16" si="9">C7</f>
        <v>0</v>
      </c>
      <c r="D16" s="22">
        <f t="shared" si="9"/>
        <v>0</v>
      </c>
      <c r="E16" s="22">
        <f t="shared" si="9"/>
        <v>5000000</v>
      </c>
      <c r="F16" s="22">
        <f t="shared" si="9"/>
        <v>0</v>
      </c>
      <c r="G16" s="22">
        <f t="shared" si="9"/>
        <v>0</v>
      </c>
      <c r="H16" s="22">
        <f t="shared" si="9"/>
        <v>0</v>
      </c>
      <c r="I16" s="13"/>
      <c r="J16" s="13"/>
      <c r="K16" s="13"/>
      <c r="L16" s="13"/>
      <c r="M16" s="13"/>
      <c r="N16" s="13"/>
      <c r="O16" s="13"/>
      <c r="P16" s="13"/>
    </row>
    <row r="17" spans="1:16" x14ac:dyDescent="0.25">
      <c r="A17" s="111" t="s">
        <v>143</v>
      </c>
      <c r="B17" s="2">
        <v>300000</v>
      </c>
      <c r="C17" s="2">
        <v>400000</v>
      </c>
      <c r="D17" s="2">
        <v>300000</v>
      </c>
      <c r="E17" s="2">
        <v>300000</v>
      </c>
      <c r="F17" s="2">
        <v>400000</v>
      </c>
      <c r="G17" s="2">
        <v>600000</v>
      </c>
      <c r="H17" s="2">
        <v>600000</v>
      </c>
      <c r="I17" s="2">
        <v>700000</v>
      </c>
      <c r="J17" s="13"/>
      <c r="K17" s="13"/>
      <c r="L17" s="13"/>
      <c r="M17" s="13"/>
      <c r="N17" s="13"/>
      <c r="O17" s="13"/>
      <c r="P17" s="13"/>
    </row>
    <row r="18" spans="1:16" x14ac:dyDescent="0.25">
      <c r="A18" s="111" t="s">
        <v>145</v>
      </c>
      <c r="B18" s="6">
        <f t="shared" ref="B18:H18" si="10">B15+B16-B17</f>
        <v>4700000</v>
      </c>
      <c r="C18" s="6">
        <f t="shared" si="10"/>
        <v>4300000</v>
      </c>
      <c r="D18" s="6">
        <f t="shared" si="10"/>
        <v>4000000</v>
      </c>
      <c r="E18" s="6">
        <f t="shared" si="10"/>
        <v>8700000</v>
      </c>
      <c r="F18" s="6">
        <f t="shared" si="10"/>
        <v>8300000</v>
      </c>
      <c r="G18" s="6">
        <f t="shared" si="10"/>
        <v>7700000</v>
      </c>
      <c r="H18" s="6">
        <f t="shared" si="10"/>
        <v>7100000</v>
      </c>
      <c r="I18" s="13"/>
      <c r="J18" s="13"/>
      <c r="K18" s="13"/>
      <c r="L18" s="13"/>
      <c r="M18" s="13"/>
      <c r="N18" s="13"/>
      <c r="O18" s="13"/>
      <c r="P18" s="13"/>
    </row>
    <row r="19" spans="1:16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1:16" x14ac:dyDescent="0.25">
      <c r="A20" s="13"/>
      <c r="B20" s="128" t="s">
        <v>178</v>
      </c>
      <c r="C20" s="128" t="s">
        <v>179</v>
      </c>
      <c r="D20" s="128" t="s">
        <v>272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1:16" x14ac:dyDescent="0.25">
      <c r="A21" s="11" t="s">
        <v>181</v>
      </c>
      <c r="B21" s="184">
        <v>0.8</v>
      </c>
      <c r="C21" s="186">
        <f>D21-B21</f>
        <v>0.19999999999999996</v>
      </c>
      <c r="D21" s="211">
        <v>1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16" x14ac:dyDescent="0.25">
      <c r="A22" s="193" t="s">
        <v>168</v>
      </c>
      <c r="B22" s="128" t="s">
        <v>178</v>
      </c>
      <c r="C22" s="215" t="s">
        <v>277</v>
      </c>
      <c r="D22" s="148">
        <f>Staffing!B154</f>
        <v>2022</v>
      </c>
      <c r="E22" s="148">
        <f>Staffing!C154</f>
        <v>2023</v>
      </c>
      <c r="F22" s="148">
        <f>Staffing!D154</f>
        <v>2024</v>
      </c>
      <c r="G22" s="148">
        <f>Staffing!E154</f>
        <v>2025</v>
      </c>
      <c r="H22" s="148">
        <f>Staffing!F154</f>
        <v>2026</v>
      </c>
      <c r="I22" s="148">
        <f>Staffing!G154</f>
        <v>2027</v>
      </c>
      <c r="J22" s="13"/>
      <c r="K22" s="13"/>
      <c r="L22" s="13"/>
      <c r="M22" s="13"/>
      <c r="N22" s="13"/>
      <c r="O22" s="13"/>
      <c r="P22" s="13"/>
    </row>
    <row r="23" spans="1:16" x14ac:dyDescent="0.25">
      <c r="A23" s="210" t="str">
        <f>Staffing!A155</f>
        <v>Instruction</v>
      </c>
      <c r="B23" s="31">
        <v>0.4</v>
      </c>
      <c r="C23" s="216">
        <f>Staffing!B155/(SUM(Staffing!B$155:B$164)-Cash!$B$26)</f>
        <v>0.54254839146324951</v>
      </c>
      <c r="D23" s="146">
        <f t="shared" ref="D23:I32" si="11">$B$21*$B23*D$34+$C$21*$C23*D$34</f>
        <v>1644048.7990494673</v>
      </c>
      <c r="E23" s="146">
        <f t="shared" si="11"/>
        <v>1680025.1939009679</v>
      </c>
      <c r="F23" s="146">
        <f t="shared" si="11"/>
        <v>1734678.1787116139</v>
      </c>
      <c r="G23" s="146">
        <f t="shared" si="11"/>
        <v>1929722.951514893</v>
      </c>
      <c r="H23" s="146">
        <f t="shared" si="11"/>
        <v>1971805.0595597611</v>
      </c>
      <c r="I23" s="146">
        <f t="shared" si="11"/>
        <v>2014774.3201235535</v>
      </c>
      <c r="J23" s="13"/>
      <c r="K23" s="13"/>
      <c r="L23" s="13"/>
      <c r="M23" s="13"/>
      <c r="N23" s="13"/>
      <c r="O23" s="13"/>
      <c r="P23" s="13"/>
    </row>
    <row r="24" spans="1:16" x14ac:dyDescent="0.25">
      <c r="A24" s="210" t="str">
        <f>Staffing!A156</f>
        <v>Research</v>
      </c>
      <c r="B24" s="31">
        <v>0.1</v>
      </c>
      <c r="C24" s="180">
        <f>Staffing!B156/(SUM(Staffing!B$155:B$164)-Cash!$B$26)</f>
        <v>6.5424355908496143E-2</v>
      </c>
      <c r="D24" s="146">
        <f t="shared" si="11"/>
        <v>357135.62243378622</v>
      </c>
      <c r="E24" s="146">
        <f t="shared" si="11"/>
        <v>364950.75065604021</v>
      </c>
      <c r="F24" s="146">
        <f t="shared" si="11"/>
        <v>376822.98203962157</v>
      </c>
      <c r="G24" s="146">
        <f t="shared" si="11"/>
        <v>419192.42775061808</v>
      </c>
      <c r="H24" s="146">
        <f t="shared" si="11"/>
        <v>428333.89597140276</v>
      </c>
      <c r="I24" s="146">
        <f t="shared" si="11"/>
        <v>437668.07974127744</v>
      </c>
      <c r="J24" s="13"/>
      <c r="K24" s="13"/>
      <c r="L24" s="13"/>
      <c r="M24" s="13"/>
      <c r="N24" s="13"/>
      <c r="O24" s="13"/>
      <c r="P24" s="13"/>
    </row>
    <row r="25" spans="1:16" x14ac:dyDescent="0.25">
      <c r="A25" s="210" t="str">
        <f>Staffing!A157</f>
        <v>Public service</v>
      </c>
      <c r="B25" s="31">
        <v>0.05</v>
      </c>
      <c r="C25" s="180">
        <f>Staffing!B157/(SUM(Staffing!B$155:B$164)-Cash!$B$26)</f>
        <v>3.9254613545097683E-2</v>
      </c>
      <c r="D25" s="146">
        <f t="shared" si="11"/>
        <v>183588.04012693837</v>
      </c>
      <c r="E25" s="146">
        <f t="shared" si="11"/>
        <v>187605.46091483624</v>
      </c>
      <c r="F25" s="146">
        <f t="shared" si="11"/>
        <v>193708.46368110139</v>
      </c>
      <c r="G25" s="146">
        <f t="shared" si="11"/>
        <v>215488.77068698886</v>
      </c>
      <c r="H25" s="146">
        <f t="shared" si="11"/>
        <v>220188.00573696682</v>
      </c>
      <c r="I25" s="146">
        <f t="shared" si="11"/>
        <v>224986.30754964496</v>
      </c>
      <c r="J25" s="13"/>
      <c r="K25" s="13"/>
      <c r="L25" s="13"/>
      <c r="M25" s="13"/>
      <c r="N25" s="13"/>
      <c r="O25" s="13"/>
      <c r="P25" s="13"/>
    </row>
    <row r="26" spans="1:16" x14ac:dyDescent="0.25">
      <c r="A26" s="210" t="str">
        <f>Staffing!A158</f>
        <v>Academic support</v>
      </c>
      <c r="B26" s="31">
        <v>0.05</v>
      </c>
      <c r="C26" s="180">
        <f>Staffing!B158/(SUM(Staffing!B$155:B$164)-Cash!$B$26)</f>
        <v>0.14124892839417047</v>
      </c>
      <c r="D26" s="146">
        <f t="shared" si="11"/>
        <v>261851.67772112691</v>
      </c>
      <c r="E26" s="146">
        <f t="shared" si="11"/>
        <v>267581.72621826991</v>
      </c>
      <c r="F26" s="146">
        <f t="shared" si="11"/>
        <v>276286.44092832535</v>
      </c>
      <c r="G26" s="146">
        <f t="shared" si="11"/>
        <v>307351.69946493517</v>
      </c>
      <c r="H26" s="146">
        <f t="shared" si="11"/>
        <v>314054.21985238441</v>
      </c>
      <c r="I26" s="146">
        <f t="shared" si="11"/>
        <v>320898.03919373883</v>
      </c>
      <c r="J26" s="13"/>
      <c r="K26" s="13"/>
      <c r="L26" s="13"/>
      <c r="M26" s="13"/>
      <c r="N26" s="13"/>
      <c r="O26" s="13"/>
      <c r="P26" s="13"/>
    </row>
    <row r="27" spans="1:16" x14ac:dyDescent="0.25">
      <c r="A27" s="210" t="str">
        <f>Staffing!A159</f>
        <v>Student services</v>
      </c>
      <c r="B27" s="31">
        <v>0.1</v>
      </c>
      <c r="C27" s="180">
        <f>Staffing!B159/(SUM(Staffing!B$155:B$164)-Cash!$B$26)</f>
        <v>8.2141406849253265E-2</v>
      </c>
      <c r="D27" s="146">
        <f t="shared" si="11"/>
        <v>369963.17285566049</v>
      </c>
      <c r="E27" s="146">
        <f t="shared" si="11"/>
        <v>378059.00382787042</v>
      </c>
      <c r="F27" s="146">
        <f t="shared" si="11"/>
        <v>390357.66046036757</v>
      </c>
      <c r="G27" s="146">
        <f t="shared" si="11"/>
        <v>434248.92636253097</v>
      </c>
      <c r="H27" s="146">
        <f t="shared" si="11"/>
        <v>443718.73663929134</v>
      </c>
      <c r="I27" s="146">
        <f t="shared" si="11"/>
        <v>453388.18439694511</v>
      </c>
      <c r="J27" s="13"/>
      <c r="K27" s="13"/>
      <c r="L27" s="13"/>
      <c r="M27" s="13"/>
      <c r="N27" s="13"/>
      <c r="O27" s="13"/>
      <c r="P27" s="13"/>
    </row>
    <row r="28" spans="1:16" x14ac:dyDescent="0.25">
      <c r="A28" s="210" t="str">
        <f>Staffing!A160</f>
        <v>Institutional support</v>
      </c>
      <c r="B28" s="31">
        <v>0.15</v>
      </c>
      <c r="C28" s="180">
        <f>(Staffing!B160-Cash!$B$26)/(SUM(Staffing!B$155:B$164)-Cash!$B$26)</f>
        <v>9.6309163921851737E-2</v>
      </c>
      <c r="D28" s="146">
        <f>$B$21*$B28*D$34+$C$21*$C28*D$34-Cash!B26</f>
        <v>534301.23178270098</v>
      </c>
      <c r="E28" s="146">
        <f>$B$21*$B28*E$34+$C$21*$C28*E$34-Cash!C26</f>
        <v>545993.24000981159</v>
      </c>
      <c r="F28" s="146">
        <f>$B$21*$B28*F$34+$C$21*$C28*F$34-Cash!D26</f>
        <v>563754.97379886475</v>
      </c>
      <c r="G28" s="146">
        <f>$B$21*$B28*G$34+$C$21*$C28*G$34-Cash!E26</f>
        <v>627142.78955094062</v>
      </c>
      <c r="H28" s="146">
        <f>$B$21*$B28*H$34+$C$21*$C28*H$34-Cash!F26</f>
        <v>640819.10024037119</v>
      </c>
      <c r="I28" s="146">
        <f>$B$21*$B28*I$34+$C$21*$C28*I$34</f>
        <v>654783.72760502121</v>
      </c>
      <c r="J28" s="13"/>
      <c r="K28" s="13"/>
      <c r="L28" s="13"/>
      <c r="M28" s="13"/>
      <c r="N28" s="13"/>
      <c r="O28" s="13"/>
      <c r="P28" s="13"/>
    </row>
    <row r="29" spans="1:16" x14ac:dyDescent="0.25">
      <c r="A29" s="210" t="str">
        <f>Staffing!A161</f>
        <v>Auxiliary enterprises</v>
      </c>
      <c r="B29" s="31">
        <v>0.15</v>
      </c>
      <c r="C29" s="180">
        <f>Staffing!B161/(SUM(Staffing!B$155:B$164)-Cash!$B$26)</f>
        <v>3.3073139917881154E-2</v>
      </c>
      <c r="D29" s="146">
        <f t="shared" si="11"/>
        <v>485778.12269698759</v>
      </c>
      <c r="E29" s="146">
        <f t="shared" si="11"/>
        <v>496408.30932068871</v>
      </c>
      <c r="F29" s="146">
        <f t="shared" si="11"/>
        <v>512556.99321404536</v>
      </c>
      <c r="G29" s="146">
        <f t="shared" si="11"/>
        <v>570188.18009184231</v>
      </c>
      <c r="H29" s="146">
        <f t="shared" si="11"/>
        <v>582622.46273417445</v>
      </c>
      <c r="I29" s="146">
        <f t="shared" si="11"/>
        <v>595318.87828000565</v>
      </c>
      <c r="J29" s="13"/>
      <c r="K29" s="13"/>
      <c r="L29" s="13"/>
      <c r="M29" s="13"/>
      <c r="N29" s="13"/>
      <c r="O29" s="13"/>
      <c r="P29" s="13"/>
    </row>
    <row r="30" spans="1:16" x14ac:dyDescent="0.25">
      <c r="A30" s="210" t="str">
        <f>Staffing!A162</f>
        <v>Hospital services</v>
      </c>
      <c r="B30" s="31">
        <v>0</v>
      </c>
      <c r="C30" s="180">
        <f>Staffing!B162/(SUM(Staffing!B$155:B$164)-Cash!$B$26)</f>
        <v>0</v>
      </c>
      <c r="D30" s="146">
        <f t="shared" si="11"/>
        <v>0</v>
      </c>
      <c r="E30" s="146">
        <f t="shared" si="11"/>
        <v>0</v>
      </c>
      <c r="F30" s="146">
        <f t="shared" si="11"/>
        <v>0</v>
      </c>
      <c r="G30" s="146">
        <f t="shared" si="11"/>
        <v>0</v>
      </c>
      <c r="H30" s="146">
        <f t="shared" si="11"/>
        <v>0</v>
      </c>
      <c r="I30" s="146">
        <f t="shared" si="11"/>
        <v>0</v>
      </c>
      <c r="J30" s="13"/>
      <c r="K30" s="13"/>
      <c r="L30" s="13"/>
      <c r="M30" s="13"/>
      <c r="N30" s="13"/>
      <c r="O30" s="13"/>
      <c r="P30" s="13"/>
    </row>
    <row r="31" spans="1:16" x14ac:dyDescent="0.25">
      <c r="A31" s="210" t="str">
        <f>Staffing!A163</f>
        <v>Independent operatons</v>
      </c>
      <c r="B31" s="31">
        <v>0</v>
      </c>
      <c r="C31" s="180">
        <f>Staffing!B163/(SUM(Staffing!B$155:B$164)-Cash!$B$26)</f>
        <v>0</v>
      </c>
      <c r="D31" s="146">
        <f t="shared" si="11"/>
        <v>0</v>
      </c>
      <c r="E31" s="146">
        <f t="shared" si="11"/>
        <v>0</v>
      </c>
      <c r="F31" s="146">
        <f t="shared" si="11"/>
        <v>0</v>
      </c>
      <c r="G31" s="146">
        <f t="shared" si="11"/>
        <v>0</v>
      </c>
      <c r="H31" s="146">
        <f t="shared" si="11"/>
        <v>0</v>
      </c>
      <c r="I31" s="146">
        <f t="shared" si="11"/>
        <v>0</v>
      </c>
      <c r="J31" s="13"/>
      <c r="K31" s="13"/>
      <c r="L31" s="13"/>
      <c r="M31" s="13"/>
      <c r="N31" s="13"/>
      <c r="O31" s="13"/>
      <c r="P31" s="13"/>
    </row>
    <row r="32" spans="1:16" x14ac:dyDescent="0.25">
      <c r="A32" s="210" t="str">
        <f>Staffing!A164</f>
        <v>Other functional expenses and deductions</v>
      </c>
      <c r="B32" s="212">
        <f>-SUM(B23:B31)+B33</f>
        <v>0</v>
      </c>
      <c r="C32" s="214">
        <f>Staffing!B164/(SUM(Staffing!B$155:B$164)-Cash!$B$26)</f>
        <v>0</v>
      </c>
      <c r="D32" s="147">
        <f t="shared" si="11"/>
        <v>0</v>
      </c>
      <c r="E32" s="147">
        <f t="shared" si="11"/>
        <v>0</v>
      </c>
      <c r="F32" s="147">
        <f t="shared" si="11"/>
        <v>0</v>
      </c>
      <c r="G32" s="147">
        <f t="shared" si="11"/>
        <v>0</v>
      </c>
      <c r="H32" s="147">
        <f t="shared" si="11"/>
        <v>0</v>
      </c>
      <c r="I32" s="147">
        <f t="shared" si="11"/>
        <v>0</v>
      </c>
      <c r="J32" s="13"/>
      <c r="K32" s="13"/>
      <c r="L32" s="13"/>
      <c r="M32" s="13"/>
      <c r="N32" s="13"/>
      <c r="O32" s="13"/>
      <c r="P32" s="13"/>
    </row>
    <row r="33" spans="1:16" x14ac:dyDescent="0.25">
      <c r="A33" s="130" t="s">
        <v>180</v>
      </c>
      <c r="B33" s="15">
        <v>1</v>
      </c>
      <c r="C33" s="15">
        <f>SUM(C23:C32)</f>
        <v>1</v>
      </c>
      <c r="D33" s="4">
        <f>SUM(D23:D32)</f>
        <v>3836666.6666666679</v>
      </c>
      <c r="E33" s="4">
        <f t="shared" ref="E33:I33" si="12">SUM(E23:E32)</f>
        <v>3920623.6848484846</v>
      </c>
      <c r="F33" s="4">
        <f t="shared" si="12"/>
        <v>4048165.69283394</v>
      </c>
      <c r="G33" s="4">
        <f t="shared" si="12"/>
        <v>4503335.7454227488</v>
      </c>
      <c r="H33" s="4">
        <f t="shared" si="12"/>
        <v>4601541.480734352</v>
      </c>
      <c r="I33" s="4">
        <f t="shared" si="12"/>
        <v>4701817.5368901864</v>
      </c>
      <c r="J33" s="13"/>
      <c r="K33" s="13"/>
      <c r="L33" s="13"/>
      <c r="M33" s="13"/>
      <c r="N33" s="13"/>
      <c r="O33" s="13"/>
      <c r="P33" s="13"/>
    </row>
    <row r="34" spans="1:16" x14ac:dyDescent="0.25">
      <c r="A34" s="13"/>
      <c r="B34" s="213"/>
      <c r="C34" s="192" t="s">
        <v>274</v>
      </c>
      <c r="D34" s="4">
        <f>Staffing!B165</f>
        <v>3836666.6666666679</v>
      </c>
      <c r="E34" s="4">
        <f>Staffing!C165</f>
        <v>3920623.6848484846</v>
      </c>
      <c r="F34" s="4">
        <f>Staffing!D165</f>
        <v>4048165.6928339396</v>
      </c>
      <c r="G34" s="4">
        <f>Staffing!E165</f>
        <v>4503335.7454227488</v>
      </c>
      <c r="H34" s="4">
        <f>Staffing!F165</f>
        <v>4601541.480734352</v>
      </c>
      <c r="I34" s="4">
        <f>Staffing!G165</f>
        <v>4701817.5368901864</v>
      </c>
      <c r="J34" s="13"/>
      <c r="K34" s="13"/>
      <c r="L34" s="13"/>
      <c r="M34" s="13"/>
      <c r="N34" s="13"/>
      <c r="O34" s="13"/>
      <c r="P34" s="13"/>
    </row>
    <row r="35" spans="1:16" x14ac:dyDescent="0.25">
      <c r="A35" s="13"/>
      <c r="B35" s="8"/>
      <c r="C35" s="10" t="s">
        <v>273</v>
      </c>
      <c r="D35" s="110">
        <f>D33-D34</f>
        <v>0</v>
      </c>
      <c r="E35" s="110">
        <f t="shared" ref="E35:I35" si="13">E33-E34</f>
        <v>0</v>
      </c>
      <c r="F35" s="110">
        <f t="shared" si="13"/>
        <v>0</v>
      </c>
      <c r="G35" s="110">
        <f t="shared" si="13"/>
        <v>0</v>
      </c>
      <c r="H35" s="110">
        <f t="shared" si="13"/>
        <v>0</v>
      </c>
      <c r="I35" s="110">
        <f t="shared" si="13"/>
        <v>0</v>
      </c>
      <c r="J35" s="13"/>
      <c r="K35" s="13"/>
      <c r="L35" s="13"/>
      <c r="M35" s="13"/>
      <c r="N35" s="13"/>
      <c r="O35" s="13"/>
      <c r="P35" s="13"/>
    </row>
    <row r="36" spans="1:16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</row>
    <row r="37" spans="1:16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</row>
    <row r="38" spans="1:16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</row>
    <row r="39" spans="1:16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</row>
    <row r="40" spans="1:16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</row>
    <row r="41" spans="1:16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</row>
    <row r="42" spans="1:16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</row>
    <row r="43" spans="1:16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</row>
  </sheetData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46FBB-845A-4777-B800-9C21CB08F56F}">
  <dimension ref="A1:T78"/>
  <sheetViews>
    <sheetView workbookViewId="0"/>
  </sheetViews>
  <sheetFormatPr defaultRowHeight="15" x14ac:dyDescent="0.25"/>
  <cols>
    <col min="1" max="1" width="39" customWidth="1"/>
    <col min="2" max="2" width="12.140625" style="104" customWidth="1"/>
    <col min="3" max="7" width="12.140625" customWidth="1"/>
  </cols>
  <sheetData>
    <row r="1" spans="1:20" ht="15.75" x14ac:dyDescent="0.25">
      <c r="A1" s="98" t="str">
        <f>Summary!A1</f>
        <v>Old Talc Mine State College</v>
      </c>
      <c r="B1" s="60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</row>
    <row r="2" spans="1:20" x14ac:dyDescent="0.25">
      <c r="A2" s="10" t="s">
        <v>125</v>
      </c>
      <c r="B2" s="167">
        <f>Summary!F3-1</f>
        <v>2021</v>
      </c>
      <c r="C2" s="167">
        <f>Summary!G3-1</f>
        <v>2022</v>
      </c>
      <c r="D2" s="167">
        <f>Summary!H3-1</f>
        <v>2023</v>
      </c>
      <c r="E2" s="167">
        <f>Summary!I3-1</f>
        <v>2024</v>
      </c>
      <c r="F2" s="167">
        <f>Summary!J3-1</f>
        <v>2025</v>
      </c>
      <c r="G2" s="167">
        <f>Summary!K3-1</f>
        <v>2026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1:20" x14ac:dyDescent="0.25">
      <c r="A3" s="10" t="s">
        <v>124</v>
      </c>
      <c r="B3" s="4">
        <f>BalSheet!B4</f>
        <v>5000000</v>
      </c>
      <c r="C3" s="4">
        <f>B17</f>
        <v>8232787.9343967717</v>
      </c>
      <c r="D3" s="4">
        <f t="shared" ref="D3:G3" si="0">C17</f>
        <v>10416356.143972665</v>
      </c>
      <c r="E3" s="4">
        <f t="shared" si="0"/>
        <v>8152088.8654375803</v>
      </c>
      <c r="F3" s="4">
        <f t="shared" si="0"/>
        <v>1642231.3274828517</v>
      </c>
      <c r="G3" s="4">
        <f t="shared" si="0"/>
        <v>-7588225.9642485548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</row>
    <row r="4" spans="1:20" x14ac:dyDescent="0.25">
      <c r="A4" s="10" t="s">
        <v>248</v>
      </c>
      <c r="B4" s="4">
        <f>Summary!F45</f>
        <v>5056408.7832198367</v>
      </c>
      <c r="C4" s="4">
        <f>Summary!G45</f>
        <v>2061089.4436538219</v>
      </c>
      <c r="D4" s="4">
        <f>Summary!H45</f>
        <v>-2044597.1600055322</v>
      </c>
      <c r="E4" s="4">
        <f>Summary!I45</f>
        <v>-5966403.7723799273</v>
      </c>
      <c r="F4" s="4">
        <f>Summary!J45</f>
        <v>-8496662.5331842378</v>
      </c>
      <c r="G4" s="4">
        <f>Summary!K45</f>
        <v>-11390841.296248347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</row>
    <row r="5" spans="1:20" x14ac:dyDescent="0.25">
      <c r="A5" s="10" t="s">
        <v>246</v>
      </c>
      <c r="B5" s="4">
        <f>-BalSheet!C5+BalSheet!B5</f>
        <v>-758622.26645552926</v>
      </c>
      <c r="C5" s="4">
        <f>-BalSheet!D5+BalSheet!C5</f>
        <v>122423.33222177858</v>
      </c>
      <c r="D5" s="4">
        <f>-BalSheet!E5+BalSheet!D5</f>
        <v>150532.8645345415</v>
      </c>
      <c r="E5" s="4">
        <f>-BalSheet!F5+BalSheet!E5</f>
        <v>161241.31615850748</v>
      </c>
      <c r="F5" s="4">
        <f>-BalSheet!G5+BalSheet!F5</f>
        <v>40016.563314026687</v>
      </c>
      <c r="G5" s="4">
        <f>-BalSheet!H5+BalSheet!G5</f>
        <v>158346.03095978964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x14ac:dyDescent="0.25">
      <c r="A6" s="27" t="s">
        <v>247</v>
      </c>
      <c r="B6" s="4">
        <f>-BalSheet!C6+BalSheet!B6</f>
        <v>-28000</v>
      </c>
      <c r="C6" s="4">
        <f>-BalSheet!D6+BalSheet!C6</f>
        <v>-29120</v>
      </c>
      <c r="D6" s="4">
        <f>-BalSheet!E6+BalSheet!D6</f>
        <v>-30284.800000000047</v>
      </c>
      <c r="E6" s="4">
        <f>-BalSheet!F6+BalSheet!E6</f>
        <v>-31496.192000000039</v>
      </c>
      <c r="F6" s="4">
        <f>-BalSheet!G6+BalSheet!F6</f>
        <v>-32756.039680000045</v>
      </c>
      <c r="G6" s="4">
        <f>-BalSheet!H6+BalSheet!G6</f>
        <v>-34066.281267200015</v>
      </c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x14ac:dyDescent="0.25">
      <c r="A7" s="27" t="s">
        <v>234</v>
      </c>
      <c r="B7" s="4">
        <f>-BalSheet!C9+BalSheet!B9</f>
        <v>-1700000</v>
      </c>
      <c r="C7" s="4">
        <f>-BalSheet!D9+BalSheet!C9</f>
        <v>-289583.33333333209</v>
      </c>
      <c r="D7" s="4">
        <f>-BalSheet!E9+BalSheet!D9</f>
        <v>-749666.66666666791</v>
      </c>
      <c r="E7" s="4">
        <f>-BalSheet!F9+BalSheet!E9</f>
        <v>-1117569.444444444</v>
      </c>
      <c r="F7" s="4">
        <f>-BalSheet!G9+BalSheet!F9</f>
        <v>-1139385.2777777761</v>
      </c>
      <c r="G7" s="4">
        <f>-BalSheet!H9+BalSheet!G9</f>
        <v>-1204019.5370370373</v>
      </c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spans="1:20" x14ac:dyDescent="0.25">
      <c r="A8" s="10" t="s">
        <v>339</v>
      </c>
      <c r="B8" s="4">
        <f>-BalSheet!C11+BalSheet!B11</f>
        <v>-10000</v>
      </c>
      <c r="C8" s="4">
        <f>-BalSheet!D11+BalSheet!C11</f>
        <v>-10100</v>
      </c>
      <c r="D8" s="4">
        <f>-BalSheet!E11+BalSheet!D11</f>
        <v>-10201</v>
      </c>
      <c r="E8" s="4">
        <f>-BalSheet!F11+BalSheet!E11</f>
        <v>-10303.010000000009</v>
      </c>
      <c r="F8" s="4">
        <f>-BalSheet!G11+BalSheet!F11</f>
        <v>-10406.0401000001</v>
      </c>
      <c r="G8" s="4">
        <f>-BalSheet!H11+BalSheet!G11</f>
        <v>-10510.10050099995</v>
      </c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spans="1:20" x14ac:dyDescent="0.25">
      <c r="A9" s="27" t="s">
        <v>262</v>
      </c>
      <c r="B9" s="4">
        <f>BalSheet!C19-BalSheet!B19</f>
        <v>535084.75096579734</v>
      </c>
      <c r="C9" s="4">
        <f>BalSheet!D19-BalSheet!C19</f>
        <v>71090.850366957486</v>
      </c>
      <c r="D9" s="4">
        <f>BalSheet!E19-BalSheet!D19</f>
        <v>142353.81068590749</v>
      </c>
      <c r="E9" s="4">
        <f>BalSheet!F19-BalSheet!E19</f>
        <v>90607.437596552074</v>
      </c>
      <c r="F9" s="4">
        <f>BalSheet!G19-BalSheet!F19</f>
        <v>224890.57428809162</v>
      </c>
      <c r="G9" s="4">
        <f>BalSheet!H19-BalSheet!G19</f>
        <v>-35456.441297118552</v>
      </c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 x14ac:dyDescent="0.25">
      <c r="A10" s="206" t="s">
        <v>340</v>
      </c>
      <c r="B10" s="4">
        <f>-BalSheet!C15+BalSheet!B15</f>
        <v>-60000</v>
      </c>
      <c r="C10" s="4">
        <f>-BalSheet!D15+BalSheet!C15</f>
        <v>-61200</v>
      </c>
      <c r="D10" s="4">
        <f>-BalSheet!E15+BalSheet!D15</f>
        <v>-62424</v>
      </c>
      <c r="E10" s="4">
        <f>-BalSheet!F15+BalSheet!E15</f>
        <v>-63672.479999999981</v>
      </c>
      <c r="F10" s="4">
        <f>-BalSheet!G15+BalSheet!F15</f>
        <v>-64945.929599999916</v>
      </c>
      <c r="G10" s="4">
        <f>-BalSheet!H15+BalSheet!G15</f>
        <v>-66244.84819199983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0" x14ac:dyDescent="0.25">
      <c r="A11" s="27" t="s">
        <v>126</v>
      </c>
      <c r="B11" s="4">
        <f>Plant!C11-Plant!B11</f>
        <v>797666.66666666698</v>
      </c>
      <c r="C11" s="4">
        <f>Plant!D11-Plant!C11</f>
        <v>818666.66666666698</v>
      </c>
      <c r="D11" s="4">
        <f>Plant!E11-Plant!D11</f>
        <v>839666.66666666605</v>
      </c>
      <c r="E11" s="4">
        <f>Plant!F11-Plant!E11</f>
        <v>1027333.333333334</v>
      </c>
      <c r="F11" s="4">
        <f>Plant!G11-Plant!F11</f>
        <v>1048333.333333334</v>
      </c>
      <c r="G11" s="4">
        <f>Plant!H11-Plant!G11</f>
        <v>1069333.333333334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1:20" x14ac:dyDescent="0.25">
      <c r="A12" s="27" t="s">
        <v>341</v>
      </c>
      <c r="B12" s="4">
        <f>BalSheet!C23-BalSheet!B23</f>
        <v>249.99999999999272</v>
      </c>
      <c r="C12" s="4">
        <f>BalSheet!D23-BalSheet!C23</f>
        <v>251.24999999999272</v>
      </c>
      <c r="D12" s="4">
        <f>BalSheet!E23-BalSheet!D23</f>
        <v>252.50624999999127</v>
      </c>
      <c r="E12" s="4">
        <f>BalSheet!F23-BalSheet!E23</f>
        <v>253.76878124999348</v>
      </c>
      <c r="F12" s="4">
        <f>BalSheet!G23-BalSheet!F23</f>
        <v>255.03762515624112</v>
      </c>
      <c r="G12" s="4">
        <f>BalSheet!H23-BalSheet!G23</f>
        <v>256.31281328202749</v>
      </c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1:20" x14ac:dyDescent="0.25">
      <c r="A13" s="27" t="s">
        <v>142</v>
      </c>
      <c r="B13" s="4">
        <f>Plant!C16</f>
        <v>0</v>
      </c>
      <c r="C13" s="4">
        <f>Plant!D16</f>
        <v>0</v>
      </c>
      <c r="D13" s="4">
        <f>Plant!E16</f>
        <v>5000000</v>
      </c>
      <c r="E13" s="4">
        <f>Plant!F16</f>
        <v>0</v>
      </c>
      <c r="F13" s="4">
        <f>Plant!G16</f>
        <v>0</v>
      </c>
      <c r="G13" s="4">
        <f>Plant!H16</f>
        <v>0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pans="1:20" x14ac:dyDescent="0.25">
      <c r="A14" s="27" t="s">
        <v>146</v>
      </c>
      <c r="B14" s="4">
        <f>-Plant!C17</f>
        <v>-400000</v>
      </c>
      <c r="C14" s="4">
        <f>-Plant!D17</f>
        <v>-300000</v>
      </c>
      <c r="D14" s="4">
        <f>-Plant!E17</f>
        <v>-300000</v>
      </c>
      <c r="E14" s="4">
        <f>-Plant!F17</f>
        <v>-400000</v>
      </c>
      <c r="F14" s="4">
        <f>-Plant!G17</f>
        <v>-600000</v>
      </c>
      <c r="G14" s="4">
        <f>-Plant!H17</f>
        <v>-600000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</row>
    <row r="15" spans="1:20" x14ac:dyDescent="0.25">
      <c r="A15" s="27" t="s">
        <v>147</v>
      </c>
      <c r="B15" s="224">
        <f>Plant!B10-Plant!C10</f>
        <v>-205000</v>
      </c>
      <c r="C15" s="224">
        <f>Plant!C10-Plant!D10</f>
        <v>-205000</v>
      </c>
      <c r="D15" s="224">
        <f>Plant!D10-Plant!E10</f>
        <v>-5205000</v>
      </c>
      <c r="E15" s="224">
        <f>Plant!E10-Plant!F10</f>
        <v>-205000</v>
      </c>
      <c r="F15" s="224">
        <f>Plant!F10-Plant!G10</f>
        <v>-205000</v>
      </c>
      <c r="G15" s="224">
        <f>Plant!G10-Plant!H10</f>
        <v>-205000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</row>
    <row r="16" spans="1:20" x14ac:dyDescent="0.25">
      <c r="A16" s="206" t="s">
        <v>342</v>
      </c>
      <c r="B16" s="225">
        <f>BalSheet!C27-BalSheet!B27</f>
        <v>5000</v>
      </c>
      <c r="C16" s="225">
        <f>BalSheet!D27-BalSheet!C27</f>
        <v>5050</v>
      </c>
      <c r="D16" s="225">
        <f>BalSheet!E27-BalSheet!D27</f>
        <v>5100.5</v>
      </c>
      <c r="E16" s="225">
        <f>BalSheet!F27-BalSheet!E27</f>
        <v>5151.5050000000047</v>
      </c>
      <c r="F16" s="225">
        <f>BalSheet!G27-BalSheet!F27</f>
        <v>5203.0200500000501</v>
      </c>
      <c r="G16" s="225">
        <f>BalSheet!H27-BalSheet!G27</f>
        <v>5255.0502504999749</v>
      </c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</row>
    <row r="17" spans="1:20" x14ac:dyDescent="0.25">
      <c r="A17" s="226" t="s">
        <v>141</v>
      </c>
      <c r="B17" s="4">
        <f>SUM(B3:B16)</f>
        <v>8232787.9343967717</v>
      </c>
      <c r="C17" s="4">
        <f t="shared" ref="C17:G17" si="1">SUM(C3:C16)</f>
        <v>10416356.143972665</v>
      </c>
      <c r="D17" s="4">
        <f t="shared" si="1"/>
        <v>8152088.8654375803</v>
      </c>
      <c r="E17" s="4">
        <f t="shared" si="1"/>
        <v>1642231.3274828517</v>
      </c>
      <c r="F17" s="4">
        <f t="shared" si="1"/>
        <v>-7588225.9642485548</v>
      </c>
      <c r="G17" s="4">
        <f t="shared" si="1"/>
        <v>-19901173.741434351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</row>
    <row r="18" spans="1:20" x14ac:dyDescent="0.25">
      <c r="A18" s="13"/>
      <c r="B18" s="60"/>
      <c r="C18" s="60"/>
      <c r="D18" s="60"/>
      <c r="E18" s="60"/>
      <c r="F18" s="60"/>
      <c r="G18" s="60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</row>
    <row r="19" spans="1:20" x14ac:dyDescent="0.25">
      <c r="A19" s="10" t="s">
        <v>129</v>
      </c>
      <c r="B19" s="31">
        <v>0.03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</row>
    <row r="20" spans="1:20" x14ac:dyDescent="0.25">
      <c r="A20" s="10" t="s">
        <v>130</v>
      </c>
      <c r="B20" s="31">
        <v>0.12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</row>
    <row r="21" spans="1:20" x14ac:dyDescent="0.25">
      <c r="A21" s="10" t="s">
        <v>131</v>
      </c>
      <c r="B21" s="4">
        <f t="shared" ref="B21:G21" si="2">(B3+B17)/2</f>
        <v>6616393.9671983859</v>
      </c>
      <c r="C21" s="4">
        <f t="shared" si="2"/>
        <v>9324572.0391847193</v>
      </c>
      <c r="D21" s="4">
        <f t="shared" si="2"/>
        <v>9284222.5047051236</v>
      </c>
      <c r="E21" s="4">
        <f t="shared" si="2"/>
        <v>4897160.0964602157</v>
      </c>
      <c r="F21" s="4">
        <f t="shared" si="2"/>
        <v>-2972997.3183828518</v>
      </c>
      <c r="G21" s="4">
        <f t="shared" si="2"/>
        <v>-13744699.852841452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</row>
    <row r="22" spans="1:20" x14ac:dyDescent="0.25">
      <c r="A22" s="10" t="s">
        <v>123</v>
      </c>
      <c r="B22" s="173">
        <f t="shared" ref="B22:G22" si="3">B2+1</f>
        <v>2022</v>
      </c>
      <c r="C22" s="173">
        <f t="shared" si="3"/>
        <v>2023</v>
      </c>
      <c r="D22" s="173">
        <f t="shared" si="3"/>
        <v>2024</v>
      </c>
      <c r="E22" s="173">
        <f t="shared" si="3"/>
        <v>2025</v>
      </c>
      <c r="F22" s="173">
        <f t="shared" si="3"/>
        <v>2026</v>
      </c>
      <c r="G22" s="173">
        <f t="shared" si="3"/>
        <v>2027</v>
      </c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</row>
    <row r="23" spans="1:20" x14ac:dyDescent="0.25">
      <c r="A23" s="10" t="s">
        <v>275</v>
      </c>
      <c r="B23" s="4">
        <f>IF(B21&lt;0,0,$B$19*B21)</f>
        <v>198491.81901595157</v>
      </c>
      <c r="C23" s="4">
        <f>IF(C21&lt;0,0,$B$19*C21)</f>
        <v>279737.16117554158</v>
      </c>
      <c r="D23" s="4">
        <f t="shared" ref="D23:G23" si="4">IF(D21&lt;0,0,$B$19*D21)</f>
        <v>278526.67514115368</v>
      </c>
      <c r="E23" s="4">
        <f t="shared" si="4"/>
        <v>146914.80289380645</v>
      </c>
      <c r="F23" s="4">
        <f t="shared" si="4"/>
        <v>0</v>
      </c>
      <c r="G23" s="4">
        <f t="shared" si="4"/>
        <v>0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</row>
    <row r="24" spans="1:20" x14ac:dyDescent="0.25">
      <c r="A24" s="10" t="s">
        <v>249</v>
      </c>
      <c r="B24" s="2">
        <v>100000</v>
      </c>
      <c r="C24" s="2">
        <v>100000</v>
      </c>
      <c r="D24" s="2">
        <v>100000</v>
      </c>
      <c r="E24" s="2">
        <v>100000</v>
      </c>
      <c r="F24" s="2">
        <v>100000</v>
      </c>
      <c r="G24" s="2">
        <v>100000</v>
      </c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</row>
    <row r="25" spans="1:20" x14ac:dyDescent="0.25">
      <c r="A25" s="10" t="s">
        <v>132</v>
      </c>
      <c r="B25" s="4">
        <f>-IF(B21&gt;0,0,$B$20*B21)</f>
        <v>0</v>
      </c>
      <c r="C25" s="4">
        <f>-IF(C21&gt;0,0,$B$20*C21)</f>
        <v>0</v>
      </c>
      <c r="D25" s="4">
        <f t="shared" ref="D25:G25" si="5">-IF(D21&gt;0,0,$B$20*D21)</f>
        <v>0</v>
      </c>
      <c r="E25" s="4">
        <f t="shared" si="5"/>
        <v>0</v>
      </c>
      <c r="F25" s="4">
        <f t="shared" si="5"/>
        <v>356759.67820594221</v>
      </c>
      <c r="G25" s="4">
        <f t="shared" si="5"/>
        <v>1649363.982340974</v>
      </c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</row>
    <row r="26" spans="1:20" x14ac:dyDescent="0.25">
      <c r="A26" s="10" t="s">
        <v>250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</row>
    <row r="27" spans="1:20" s="104" customFormat="1" x14ac:dyDescent="0.25">
      <c r="A27" s="166" t="s">
        <v>240</v>
      </c>
      <c r="B27" s="4">
        <f>Endow!B10</f>
        <v>3000000</v>
      </c>
      <c r="C27" s="4">
        <f>Endow!C10</f>
        <v>2250000</v>
      </c>
      <c r="D27" s="4">
        <f>Endow!D10</f>
        <v>2403000</v>
      </c>
      <c r="E27" s="4">
        <f>Endow!E10</f>
        <v>2429062.5</v>
      </c>
      <c r="F27" s="4">
        <f>Endow!F10</f>
        <v>2496532.5</v>
      </c>
      <c r="G27" s="4">
        <f>Endow!G10</f>
        <v>2597113.75</v>
      </c>
      <c r="H27" s="60"/>
      <c r="I27" s="60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</row>
    <row r="28" spans="1:20" x14ac:dyDescent="0.25">
      <c r="A28" s="130" t="s">
        <v>241</v>
      </c>
      <c r="B28" s="6">
        <f>B24+B27</f>
        <v>3100000</v>
      </c>
      <c r="C28" s="6">
        <f>C24+C27</f>
        <v>2350000</v>
      </c>
      <c r="D28" s="6">
        <f t="shared" ref="D28:G28" si="6">D24+D27</f>
        <v>2503000</v>
      </c>
      <c r="E28" s="6">
        <f t="shared" si="6"/>
        <v>2529062.5</v>
      </c>
      <c r="F28" s="6">
        <f t="shared" si="6"/>
        <v>2596532.5</v>
      </c>
      <c r="G28" s="6">
        <f t="shared" si="6"/>
        <v>2697113.75</v>
      </c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</row>
    <row r="29" spans="1:20" x14ac:dyDescent="0.25">
      <c r="A29" s="13"/>
      <c r="B29" s="60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</row>
    <row r="30" spans="1:20" x14ac:dyDescent="0.25">
      <c r="A30" s="13"/>
      <c r="B30" s="60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</row>
    <row r="31" spans="1:20" x14ac:dyDescent="0.25">
      <c r="A31" s="13"/>
      <c r="B31" s="60"/>
      <c r="C31" s="60"/>
      <c r="D31" s="60"/>
      <c r="E31" s="60"/>
      <c r="F31" s="60"/>
      <c r="G31" s="60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</row>
    <row r="32" spans="1:20" x14ac:dyDescent="0.25">
      <c r="A32" s="13"/>
      <c r="B32" s="60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</row>
    <row r="33" spans="1:20" x14ac:dyDescent="0.25">
      <c r="A33" s="13"/>
      <c r="B33" s="60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</row>
    <row r="34" spans="1:20" x14ac:dyDescent="0.25">
      <c r="A34" s="13"/>
      <c r="B34" s="60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</row>
    <row r="35" spans="1:20" x14ac:dyDescent="0.25">
      <c r="A35" s="13"/>
      <c r="B35" s="60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</row>
    <row r="36" spans="1:20" x14ac:dyDescent="0.25">
      <c r="A36" s="13"/>
      <c r="B36" s="60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</row>
    <row r="37" spans="1:20" x14ac:dyDescent="0.25">
      <c r="A37" s="13"/>
      <c r="B37" s="60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</row>
    <row r="38" spans="1:20" x14ac:dyDescent="0.25">
      <c r="A38" s="13"/>
      <c r="B38" s="60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</row>
    <row r="39" spans="1:20" x14ac:dyDescent="0.25">
      <c r="A39" s="13"/>
      <c r="B39" s="60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</row>
    <row r="40" spans="1:20" x14ac:dyDescent="0.25">
      <c r="A40" s="13"/>
      <c r="B40" s="60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</row>
    <row r="41" spans="1:20" x14ac:dyDescent="0.25">
      <c r="A41" s="13"/>
      <c r="B41" s="60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</row>
    <row r="42" spans="1:20" x14ac:dyDescent="0.25">
      <c r="A42" s="13"/>
      <c r="B42" s="60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</row>
    <row r="43" spans="1:20" x14ac:dyDescent="0.25">
      <c r="A43" s="13"/>
      <c r="B43" s="60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</row>
    <row r="44" spans="1:20" x14ac:dyDescent="0.25">
      <c r="A44" s="13"/>
      <c r="B44" s="60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</row>
    <row r="45" spans="1:20" x14ac:dyDescent="0.25">
      <c r="A45" s="13"/>
      <c r="B45" s="60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</row>
    <row r="46" spans="1:20" x14ac:dyDescent="0.25">
      <c r="A46" s="13"/>
      <c r="B46" s="60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</row>
    <row r="47" spans="1:20" x14ac:dyDescent="0.25">
      <c r="A47" s="13"/>
      <c r="B47" s="60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</row>
    <row r="48" spans="1:20" x14ac:dyDescent="0.25">
      <c r="A48" s="13"/>
      <c r="B48" s="60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</row>
    <row r="49" spans="1:20" x14ac:dyDescent="0.25">
      <c r="A49" s="13"/>
      <c r="B49" s="60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</row>
    <row r="50" spans="1:20" x14ac:dyDescent="0.25">
      <c r="A50" s="13"/>
      <c r="B50" s="60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</row>
    <row r="51" spans="1:20" x14ac:dyDescent="0.25">
      <c r="A51" s="13"/>
      <c r="B51" s="60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</row>
    <row r="52" spans="1:20" x14ac:dyDescent="0.25">
      <c r="A52" s="13"/>
      <c r="B52" s="60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</row>
    <row r="53" spans="1:20" x14ac:dyDescent="0.25">
      <c r="A53" s="13"/>
      <c r="B53" s="60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</row>
    <row r="54" spans="1:20" x14ac:dyDescent="0.25">
      <c r="A54" s="13"/>
      <c r="B54" s="60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</row>
    <row r="55" spans="1:20" x14ac:dyDescent="0.25">
      <c r="A55" s="13"/>
      <c r="B55" s="60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</row>
    <row r="56" spans="1:20" x14ac:dyDescent="0.25">
      <c r="A56" s="13"/>
      <c r="B56" s="60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</row>
    <row r="57" spans="1:20" x14ac:dyDescent="0.25">
      <c r="A57" s="13"/>
      <c r="B57" s="60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</row>
    <row r="58" spans="1:20" x14ac:dyDescent="0.25">
      <c r="A58" s="13"/>
      <c r="B58" s="60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</row>
    <row r="59" spans="1:20" x14ac:dyDescent="0.25">
      <c r="A59" s="13"/>
      <c r="B59" s="60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</row>
    <row r="60" spans="1:20" x14ac:dyDescent="0.25">
      <c r="A60" s="13"/>
      <c r="B60" s="60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</row>
    <row r="61" spans="1:20" x14ac:dyDescent="0.25">
      <c r="A61" s="13"/>
      <c r="B61" s="60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</row>
    <row r="62" spans="1:20" x14ac:dyDescent="0.25">
      <c r="A62" s="13"/>
      <c r="B62" s="60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</row>
    <row r="63" spans="1:20" x14ac:dyDescent="0.25">
      <c r="A63" s="13"/>
      <c r="B63" s="60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</row>
    <row r="64" spans="1:20" x14ac:dyDescent="0.25">
      <c r="A64" s="13"/>
      <c r="B64" s="60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</row>
    <row r="65" spans="1:20" x14ac:dyDescent="0.25">
      <c r="A65" s="13"/>
      <c r="B65" s="60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</row>
    <row r="66" spans="1:20" x14ac:dyDescent="0.25">
      <c r="A66" s="13"/>
      <c r="B66" s="60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</row>
    <row r="67" spans="1:20" x14ac:dyDescent="0.25">
      <c r="A67" s="13"/>
      <c r="B67" s="60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</row>
    <row r="68" spans="1:20" x14ac:dyDescent="0.25">
      <c r="A68" s="13"/>
      <c r="B68" s="60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</row>
    <row r="69" spans="1:20" x14ac:dyDescent="0.25">
      <c r="A69" s="13"/>
      <c r="B69" s="60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</row>
    <row r="70" spans="1:20" x14ac:dyDescent="0.25">
      <c r="A70" s="13"/>
      <c r="B70" s="60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</row>
    <row r="71" spans="1:20" x14ac:dyDescent="0.25">
      <c r="A71" s="13"/>
      <c r="B71" s="60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</row>
    <row r="72" spans="1:20" x14ac:dyDescent="0.25">
      <c r="A72" s="13"/>
      <c r="B72" s="60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</row>
    <row r="73" spans="1:20" x14ac:dyDescent="0.25">
      <c r="A73" s="13"/>
      <c r="B73" s="60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</row>
    <row r="74" spans="1:20" x14ac:dyDescent="0.25">
      <c r="A74" s="13"/>
      <c r="B74" s="60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</row>
    <row r="75" spans="1:20" x14ac:dyDescent="0.25">
      <c r="A75" s="13"/>
      <c r="B75" s="60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</row>
    <row r="76" spans="1:20" x14ac:dyDescent="0.25">
      <c r="A76" s="13"/>
      <c r="B76" s="60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</row>
    <row r="77" spans="1:20" x14ac:dyDescent="0.25">
      <c r="A77" s="13"/>
      <c r="B77" s="60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</row>
    <row r="78" spans="1:20" x14ac:dyDescent="0.25">
      <c r="A78" s="13"/>
      <c r="B78" s="60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85636-A213-484E-AF9D-BDE9FA890284}">
  <dimension ref="A1:V191"/>
  <sheetViews>
    <sheetView zoomScale="90" zoomScaleNormal="90" workbookViewId="0"/>
  </sheetViews>
  <sheetFormatPr defaultRowHeight="15" x14ac:dyDescent="0.25"/>
  <cols>
    <col min="1" max="1" width="39.28515625" customWidth="1"/>
    <col min="2" max="7" width="12.85546875" customWidth="1"/>
    <col min="8" max="8" width="12.140625" customWidth="1"/>
    <col min="9" max="9" width="9.85546875" customWidth="1"/>
    <col min="10" max="10" width="11" customWidth="1"/>
    <col min="14" max="14" width="11" customWidth="1"/>
    <col min="15" max="15" width="9.85546875" customWidth="1"/>
  </cols>
  <sheetData>
    <row r="1" spans="1:21" ht="15.75" x14ac:dyDescent="0.25">
      <c r="A1" s="98" t="str">
        <f>Summary!A1</f>
        <v>Old Talc Mine State College</v>
      </c>
      <c r="B1" s="80"/>
      <c r="C1" s="81"/>
      <c r="D1" s="81"/>
      <c r="E1" s="74" t="s">
        <v>51</v>
      </c>
      <c r="F1" s="81"/>
      <c r="G1" s="81"/>
      <c r="H1" s="159"/>
      <c r="I1" s="80"/>
      <c r="J1" s="81"/>
      <c r="K1" s="81"/>
      <c r="L1" s="74" t="s">
        <v>52</v>
      </c>
      <c r="M1" s="81"/>
      <c r="N1" s="82"/>
      <c r="O1" s="13"/>
      <c r="P1" s="13"/>
      <c r="Q1" s="13"/>
      <c r="R1" s="13"/>
      <c r="S1" s="13"/>
      <c r="T1" s="13"/>
      <c r="U1" s="13"/>
    </row>
    <row r="2" spans="1:21" ht="60" x14ac:dyDescent="0.25">
      <c r="A2" s="13"/>
      <c r="B2" s="41" t="s">
        <v>7</v>
      </c>
      <c r="C2" s="42" t="s">
        <v>9</v>
      </c>
      <c r="D2" s="42" t="s">
        <v>10</v>
      </c>
      <c r="E2" s="42" t="s">
        <v>8</v>
      </c>
      <c r="F2" s="42" t="s">
        <v>11</v>
      </c>
      <c r="G2" s="42" t="s">
        <v>12</v>
      </c>
      <c r="H2" s="160" t="s">
        <v>13</v>
      </c>
      <c r="I2" s="41" t="s">
        <v>7</v>
      </c>
      <c r="J2" s="42" t="s">
        <v>9</v>
      </c>
      <c r="K2" s="42" t="s">
        <v>10</v>
      </c>
      <c r="L2" s="42" t="s">
        <v>8</v>
      </c>
      <c r="M2" s="42" t="s">
        <v>11</v>
      </c>
      <c r="N2" s="43" t="s">
        <v>12</v>
      </c>
      <c r="O2" s="21" t="s">
        <v>21</v>
      </c>
      <c r="P2" s="13"/>
      <c r="Q2" s="13"/>
      <c r="R2" s="13"/>
      <c r="S2" s="13"/>
      <c r="T2" s="13"/>
      <c r="U2" s="13"/>
    </row>
    <row r="3" spans="1:21" x14ac:dyDescent="0.25">
      <c r="A3" s="10" t="s">
        <v>4</v>
      </c>
      <c r="B3" s="36">
        <v>120</v>
      </c>
      <c r="C3" s="2">
        <v>120000</v>
      </c>
      <c r="D3" s="185">
        <f>Summary!B27</f>
        <v>0.45</v>
      </c>
      <c r="E3" s="3">
        <v>20</v>
      </c>
      <c r="F3" s="2">
        <v>60000</v>
      </c>
      <c r="G3" s="185">
        <f>Summary!B27</f>
        <v>0.45</v>
      </c>
      <c r="H3" s="161">
        <v>1000000</v>
      </c>
      <c r="I3" s="36">
        <v>20</v>
      </c>
      <c r="J3" s="2">
        <v>15000</v>
      </c>
      <c r="K3" s="185">
        <f>Summary!B28</f>
        <v>0.1</v>
      </c>
      <c r="L3" s="3">
        <v>5</v>
      </c>
      <c r="M3" s="2">
        <v>18000</v>
      </c>
      <c r="N3" s="187">
        <f>Summary!B28</f>
        <v>0.1</v>
      </c>
      <c r="O3" s="1">
        <f>Summary!B26</f>
        <v>0.02</v>
      </c>
      <c r="P3" s="13"/>
      <c r="Q3" s="13"/>
      <c r="R3" s="13"/>
      <c r="S3" s="13"/>
      <c r="T3" s="13"/>
      <c r="U3" s="13"/>
    </row>
    <row r="4" spans="1:21" x14ac:dyDescent="0.25">
      <c r="A4" s="129" t="s">
        <v>169</v>
      </c>
      <c r="B4" s="36">
        <v>0</v>
      </c>
      <c r="C4" s="22">
        <f t="shared" ref="C4:C5" si="0">$C$3</f>
        <v>120000</v>
      </c>
      <c r="D4" s="186">
        <f t="shared" ref="D4:D5" si="1">$D$3</f>
        <v>0.45</v>
      </c>
      <c r="E4" s="3">
        <v>20</v>
      </c>
      <c r="F4" s="2">
        <v>100000</v>
      </c>
      <c r="G4" s="186">
        <f t="shared" ref="G4:G5" si="2">$G$3</f>
        <v>0.45</v>
      </c>
      <c r="H4" s="161">
        <v>0</v>
      </c>
      <c r="I4" s="36">
        <v>0</v>
      </c>
      <c r="J4" s="22">
        <f t="shared" ref="J4:J5" si="3">$J$3</f>
        <v>15000</v>
      </c>
      <c r="K4" s="186">
        <f>$K$3</f>
        <v>0.1</v>
      </c>
      <c r="L4" s="3">
        <v>0</v>
      </c>
      <c r="M4" s="2">
        <v>18000</v>
      </c>
      <c r="N4" s="188">
        <f t="shared" ref="N4:N5" si="4">$N$3</f>
        <v>0.1</v>
      </c>
      <c r="O4" s="13"/>
      <c r="P4" s="13"/>
      <c r="Q4" s="13"/>
      <c r="R4" s="13"/>
      <c r="S4" s="13"/>
      <c r="T4" s="13"/>
      <c r="U4" s="13"/>
    </row>
    <row r="5" spans="1:21" x14ac:dyDescent="0.25">
      <c r="A5" s="129" t="s">
        <v>170</v>
      </c>
      <c r="B5" s="36">
        <v>0</v>
      </c>
      <c r="C5" s="22">
        <f t="shared" si="0"/>
        <v>120000</v>
      </c>
      <c r="D5" s="186">
        <f t="shared" si="1"/>
        <v>0.45</v>
      </c>
      <c r="E5" s="3">
        <v>20</v>
      </c>
      <c r="F5" s="2">
        <v>60000</v>
      </c>
      <c r="G5" s="186">
        <f t="shared" si="2"/>
        <v>0.45</v>
      </c>
      <c r="H5" s="161">
        <v>0</v>
      </c>
      <c r="I5" s="36">
        <v>0</v>
      </c>
      <c r="J5" s="22">
        <f t="shared" si="3"/>
        <v>15000</v>
      </c>
      <c r="K5" s="186">
        <f t="shared" ref="K5:K6" si="5">$K$3</f>
        <v>0.1</v>
      </c>
      <c r="L5" s="3">
        <v>0</v>
      </c>
      <c r="M5" s="2">
        <v>18000</v>
      </c>
      <c r="N5" s="188">
        <f t="shared" si="4"/>
        <v>0.1</v>
      </c>
      <c r="O5" s="13"/>
      <c r="P5" s="13"/>
      <c r="Q5" s="13"/>
      <c r="R5" s="13"/>
      <c r="S5" s="13"/>
      <c r="T5" s="13"/>
      <c r="U5" s="13"/>
    </row>
    <row r="6" spans="1:21" x14ac:dyDescent="0.25">
      <c r="A6" s="10" t="s">
        <v>172</v>
      </c>
      <c r="B6" s="36">
        <v>10</v>
      </c>
      <c r="C6" s="22">
        <f>$C$3</f>
        <v>120000</v>
      </c>
      <c r="D6" s="186">
        <f>$D$3</f>
        <v>0.45</v>
      </c>
      <c r="E6" s="3">
        <v>25</v>
      </c>
      <c r="F6" s="2">
        <v>100000</v>
      </c>
      <c r="G6" s="186">
        <f>$G$3</f>
        <v>0.45</v>
      </c>
      <c r="H6" s="161">
        <v>500000</v>
      </c>
      <c r="I6" s="36">
        <v>0</v>
      </c>
      <c r="J6" s="22">
        <f>$J$3</f>
        <v>15000</v>
      </c>
      <c r="K6" s="186">
        <f t="shared" si="5"/>
        <v>0.1</v>
      </c>
      <c r="L6" s="3">
        <v>20</v>
      </c>
      <c r="M6" s="2">
        <v>18000</v>
      </c>
      <c r="N6" s="188">
        <f>$N$3</f>
        <v>0.1</v>
      </c>
      <c r="O6" s="13"/>
      <c r="P6" s="13"/>
      <c r="Q6" s="13"/>
      <c r="R6" s="13"/>
      <c r="S6" s="13"/>
      <c r="T6" s="13"/>
      <c r="U6" s="13"/>
    </row>
    <row r="7" spans="1:21" x14ac:dyDescent="0.25">
      <c r="A7" s="10" t="s">
        <v>171</v>
      </c>
      <c r="B7" s="37"/>
      <c r="C7" s="29"/>
      <c r="D7" s="29"/>
      <c r="E7" s="3">
        <v>30</v>
      </c>
      <c r="F7" s="2">
        <v>70000</v>
      </c>
      <c r="G7" s="186">
        <f>G3</f>
        <v>0.45</v>
      </c>
      <c r="H7" s="161">
        <v>200000</v>
      </c>
      <c r="I7" s="37"/>
      <c r="J7" s="29"/>
      <c r="K7" s="29"/>
      <c r="L7" s="3">
        <v>20</v>
      </c>
      <c r="M7" s="2">
        <v>18000</v>
      </c>
      <c r="N7" s="188">
        <f t="shared" ref="N7:N13" si="6">$N$3</f>
        <v>0.1</v>
      </c>
      <c r="O7" s="13"/>
      <c r="P7" s="13"/>
      <c r="Q7" s="13"/>
      <c r="R7" s="13"/>
      <c r="S7" s="13"/>
      <c r="T7" s="13"/>
      <c r="U7" s="13"/>
    </row>
    <row r="8" spans="1:21" x14ac:dyDescent="0.25">
      <c r="A8" s="10" t="s">
        <v>173</v>
      </c>
      <c r="B8" s="37"/>
      <c r="C8" s="29"/>
      <c r="D8" s="29"/>
      <c r="E8" s="3">
        <v>20</v>
      </c>
      <c r="F8" s="2">
        <v>130000</v>
      </c>
      <c r="G8" s="186">
        <f>$G$3</f>
        <v>0.45</v>
      </c>
      <c r="H8" s="161">
        <v>400000</v>
      </c>
      <c r="I8" s="37"/>
      <c r="J8" s="29"/>
      <c r="K8" s="29"/>
      <c r="L8" s="3">
        <v>5</v>
      </c>
      <c r="M8" s="2">
        <v>18000</v>
      </c>
      <c r="N8" s="188">
        <f t="shared" si="6"/>
        <v>0.1</v>
      </c>
      <c r="O8" s="13"/>
      <c r="P8" s="13"/>
      <c r="Q8" s="13"/>
      <c r="R8" s="13"/>
      <c r="S8" s="13"/>
      <c r="T8" s="13"/>
      <c r="U8" s="13"/>
    </row>
    <row r="9" spans="1:21" x14ac:dyDescent="0.25">
      <c r="A9" s="129" t="s">
        <v>174</v>
      </c>
      <c r="B9" s="37"/>
      <c r="C9" s="29"/>
      <c r="D9" s="29"/>
      <c r="E9" s="3">
        <v>10</v>
      </c>
      <c r="F9" s="2">
        <v>60000</v>
      </c>
      <c r="G9" s="186">
        <f t="shared" ref="G9:G12" si="7">$G$3</f>
        <v>0.45</v>
      </c>
      <c r="H9" s="161">
        <v>200000</v>
      </c>
      <c r="I9" s="37"/>
      <c r="J9" s="29"/>
      <c r="K9" s="29"/>
      <c r="L9" s="3">
        <v>20</v>
      </c>
      <c r="M9" s="2">
        <v>18000</v>
      </c>
      <c r="N9" s="188">
        <f t="shared" si="6"/>
        <v>0.1</v>
      </c>
      <c r="O9" s="13"/>
      <c r="P9" s="13"/>
      <c r="Q9" s="13"/>
      <c r="R9" s="13"/>
      <c r="S9" s="13"/>
      <c r="T9" s="13"/>
      <c r="U9" s="13"/>
    </row>
    <row r="10" spans="1:21" x14ac:dyDescent="0.25">
      <c r="A10" s="129" t="s">
        <v>175</v>
      </c>
      <c r="B10" s="37"/>
      <c r="C10" s="29"/>
      <c r="D10" s="29"/>
      <c r="E10" s="3">
        <v>0</v>
      </c>
      <c r="F10" s="2">
        <v>0</v>
      </c>
      <c r="G10" s="186">
        <f t="shared" si="7"/>
        <v>0.45</v>
      </c>
      <c r="H10" s="161">
        <v>0</v>
      </c>
      <c r="I10" s="37"/>
      <c r="J10" s="29"/>
      <c r="K10" s="29"/>
      <c r="L10" s="3"/>
      <c r="M10" s="2"/>
      <c r="N10" s="188">
        <f t="shared" si="6"/>
        <v>0.1</v>
      </c>
      <c r="O10" s="13"/>
      <c r="P10" s="13"/>
      <c r="Q10" s="13"/>
      <c r="R10" s="13"/>
      <c r="S10" s="13"/>
      <c r="T10" s="13"/>
      <c r="U10" s="13"/>
    </row>
    <row r="11" spans="1:21" x14ac:dyDescent="0.25">
      <c r="A11" s="129" t="s">
        <v>157</v>
      </c>
      <c r="B11" s="37"/>
      <c r="C11" s="29"/>
      <c r="D11" s="29"/>
      <c r="E11" s="3">
        <v>0</v>
      </c>
      <c r="F11" s="2">
        <v>0</v>
      </c>
      <c r="G11" s="186">
        <f t="shared" si="7"/>
        <v>0.45</v>
      </c>
      <c r="H11" s="161">
        <v>0</v>
      </c>
      <c r="I11" s="37"/>
      <c r="J11" s="29"/>
      <c r="K11" s="29"/>
      <c r="L11" s="3"/>
      <c r="M11" s="2"/>
      <c r="N11" s="188">
        <f t="shared" si="6"/>
        <v>0.1</v>
      </c>
      <c r="O11" s="13"/>
      <c r="P11" s="13"/>
      <c r="Q11" s="13"/>
      <c r="R11" s="13"/>
      <c r="S11" s="13"/>
      <c r="T11" s="13"/>
      <c r="U11" s="13"/>
    </row>
    <row r="12" spans="1:21" x14ac:dyDescent="0.25">
      <c r="A12" s="129" t="s">
        <v>276</v>
      </c>
      <c r="B12" s="37"/>
      <c r="C12" s="29"/>
      <c r="D12" s="29"/>
      <c r="E12" s="3">
        <v>0</v>
      </c>
      <c r="F12" s="2">
        <v>0</v>
      </c>
      <c r="G12" s="186">
        <f t="shared" si="7"/>
        <v>0.45</v>
      </c>
      <c r="H12" s="161">
        <v>0</v>
      </c>
      <c r="I12" s="37"/>
      <c r="J12" s="29"/>
      <c r="K12" s="29"/>
      <c r="L12" s="3"/>
      <c r="M12" s="2"/>
      <c r="N12" s="188">
        <f t="shared" si="6"/>
        <v>0.1</v>
      </c>
      <c r="O12" s="13"/>
      <c r="P12" s="13"/>
      <c r="Q12" s="13"/>
      <c r="R12" s="13"/>
      <c r="S12" s="13"/>
      <c r="T12" s="13"/>
      <c r="U12" s="13"/>
    </row>
    <row r="13" spans="1:21" ht="15.75" thickBot="1" x14ac:dyDescent="0.3">
      <c r="A13" s="10" t="s">
        <v>5</v>
      </c>
      <c r="B13" s="37"/>
      <c r="C13" s="29"/>
      <c r="D13" s="29"/>
      <c r="E13" s="84">
        <v>20</v>
      </c>
      <c r="F13" s="2">
        <v>60000</v>
      </c>
      <c r="G13" s="186">
        <f>G3</f>
        <v>0.45</v>
      </c>
      <c r="H13" s="162">
        <v>1200000</v>
      </c>
      <c r="I13" s="37"/>
      <c r="J13" s="29"/>
      <c r="K13" s="29"/>
      <c r="L13" s="3">
        <v>5</v>
      </c>
      <c r="M13" s="2">
        <v>18000</v>
      </c>
      <c r="N13" s="188">
        <f t="shared" si="6"/>
        <v>0.1</v>
      </c>
      <c r="O13" s="13"/>
      <c r="P13" s="13"/>
      <c r="Q13" s="13"/>
      <c r="R13" s="13"/>
      <c r="S13" s="13"/>
      <c r="T13" s="13"/>
      <c r="U13" s="13"/>
    </row>
    <row r="14" spans="1:21" ht="15.75" thickBot="1" x14ac:dyDescent="0.3">
      <c r="A14" s="29"/>
      <c r="B14" s="46"/>
      <c r="C14" s="47"/>
      <c r="D14" s="47"/>
      <c r="E14" s="44" t="s">
        <v>51</v>
      </c>
      <c r="F14" s="47"/>
      <c r="G14" s="47"/>
      <c r="H14" s="85"/>
      <c r="I14" s="46"/>
      <c r="J14" s="58"/>
      <c r="K14" s="47"/>
      <c r="L14" s="59" t="s">
        <v>39</v>
      </c>
      <c r="M14" s="47"/>
      <c r="N14" s="63"/>
      <c r="O14" s="13"/>
      <c r="P14" s="13"/>
      <c r="Q14" s="13"/>
      <c r="R14" s="13"/>
      <c r="S14" s="13"/>
      <c r="T14" s="13"/>
      <c r="U14" s="13"/>
    </row>
    <row r="15" spans="1:21" x14ac:dyDescent="0.25">
      <c r="A15" s="9" t="s">
        <v>66</v>
      </c>
      <c r="B15" s="156">
        <f>Summary!$B$32+1</f>
        <v>2022</v>
      </c>
      <c r="C15" s="151">
        <f>B15+1</f>
        <v>2023</v>
      </c>
      <c r="D15" s="151">
        <f t="shared" ref="D15" si="8">C15+1</f>
        <v>2024</v>
      </c>
      <c r="E15" s="151">
        <f t="shared" ref="E15" si="9">D15+1</f>
        <v>2025</v>
      </c>
      <c r="F15" s="151">
        <f t="shared" ref="F15" si="10">E15+1</f>
        <v>2026</v>
      </c>
      <c r="G15" s="151">
        <f>F15+1</f>
        <v>2027</v>
      </c>
      <c r="H15" s="79"/>
      <c r="I15" s="157">
        <f>Summary!$B$32+1</f>
        <v>2022</v>
      </c>
      <c r="J15" s="158">
        <f>I15+1</f>
        <v>2023</v>
      </c>
      <c r="K15" s="158">
        <f t="shared" ref="K15" si="11">J15+1</f>
        <v>2024</v>
      </c>
      <c r="L15" s="158">
        <f t="shared" ref="L15" si="12">K15+1</f>
        <v>2025</v>
      </c>
      <c r="M15" s="158">
        <f t="shared" ref="M15" si="13">L15+1</f>
        <v>2026</v>
      </c>
      <c r="N15" s="163">
        <f t="shared" ref="N15" si="14">M15+1</f>
        <v>2027</v>
      </c>
      <c r="O15" s="13"/>
      <c r="P15" s="13"/>
      <c r="Q15" s="13"/>
      <c r="R15" s="13"/>
      <c r="S15" s="13"/>
      <c r="T15" s="13"/>
      <c r="U15" s="13"/>
    </row>
    <row r="16" spans="1:21" x14ac:dyDescent="0.25">
      <c r="A16" s="10" t="str">
        <f>$A$3</f>
        <v>Instruction</v>
      </c>
      <c r="B16" s="37"/>
      <c r="C16" s="155">
        <v>0</v>
      </c>
      <c r="D16" s="155">
        <v>0</v>
      </c>
      <c r="E16" s="155">
        <v>0</v>
      </c>
      <c r="F16" s="155">
        <v>4</v>
      </c>
      <c r="G16" s="155">
        <v>-4</v>
      </c>
      <c r="H16" s="56"/>
      <c r="I16" s="37"/>
      <c r="J16" s="155">
        <v>0</v>
      </c>
      <c r="K16" s="155">
        <v>0</v>
      </c>
      <c r="L16" s="155">
        <v>0</v>
      </c>
      <c r="M16" s="155">
        <v>0</v>
      </c>
      <c r="N16" s="164">
        <v>0</v>
      </c>
      <c r="O16" s="13"/>
      <c r="P16" s="13"/>
      <c r="Q16" s="13"/>
      <c r="R16" s="13"/>
      <c r="S16" s="13"/>
      <c r="T16" s="13"/>
      <c r="U16" s="13"/>
    </row>
    <row r="17" spans="1:21" x14ac:dyDescent="0.25">
      <c r="A17" s="10" t="str">
        <f>$A$4</f>
        <v>Research</v>
      </c>
      <c r="B17" s="37"/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56"/>
      <c r="I17" s="37"/>
      <c r="J17" s="3">
        <v>0</v>
      </c>
      <c r="K17" s="3">
        <v>0</v>
      </c>
      <c r="L17" s="3">
        <v>0</v>
      </c>
      <c r="M17" s="3">
        <v>0</v>
      </c>
      <c r="N17" s="51">
        <v>0</v>
      </c>
      <c r="O17" s="13"/>
      <c r="P17" s="13"/>
      <c r="Q17" s="13"/>
      <c r="R17" s="13"/>
      <c r="S17" s="13"/>
      <c r="T17" s="13"/>
      <c r="U17" s="13"/>
    </row>
    <row r="18" spans="1:21" x14ac:dyDescent="0.25">
      <c r="A18" s="10" t="str">
        <f>$A$5</f>
        <v>Public service</v>
      </c>
      <c r="B18" s="37"/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56"/>
      <c r="I18" s="37"/>
      <c r="J18" s="3">
        <v>0</v>
      </c>
      <c r="K18" s="3">
        <v>0</v>
      </c>
      <c r="L18" s="3">
        <v>0</v>
      </c>
      <c r="M18" s="3">
        <v>0</v>
      </c>
      <c r="N18" s="51">
        <v>0</v>
      </c>
      <c r="O18" s="13"/>
      <c r="P18" s="13"/>
      <c r="Q18" s="13"/>
      <c r="R18" s="13"/>
      <c r="S18" s="13"/>
      <c r="T18" s="13"/>
      <c r="U18" s="13"/>
    </row>
    <row r="19" spans="1:21" x14ac:dyDescent="0.25">
      <c r="A19" s="10" t="str">
        <f>$A$6</f>
        <v>Academic support</v>
      </c>
      <c r="B19" s="37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56"/>
      <c r="I19" s="37"/>
      <c r="J19" s="3">
        <v>0</v>
      </c>
      <c r="K19" s="3">
        <v>0</v>
      </c>
      <c r="L19" s="3">
        <v>0</v>
      </c>
      <c r="M19" s="3">
        <v>0</v>
      </c>
      <c r="N19" s="51">
        <v>0</v>
      </c>
      <c r="O19" s="13"/>
      <c r="P19" s="13"/>
      <c r="Q19" s="13"/>
      <c r="R19" s="13"/>
      <c r="S19" s="13"/>
      <c r="T19" s="13"/>
      <c r="U19" s="13"/>
    </row>
    <row r="20" spans="1:21" x14ac:dyDescent="0.25">
      <c r="A20" s="52"/>
      <c r="B20" s="52"/>
      <c r="C20" s="53"/>
      <c r="D20" s="53"/>
      <c r="E20" s="53"/>
      <c r="F20" s="53"/>
      <c r="G20" s="53"/>
      <c r="H20" s="54"/>
      <c r="I20" s="37"/>
      <c r="J20" s="29"/>
      <c r="K20" s="29"/>
      <c r="L20" s="29"/>
      <c r="M20" s="29"/>
      <c r="N20" s="56"/>
      <c r="O20" s="13"/>
      <c r="P20" s="13"/>
      <c r="Q20" s="13"/>
      <c r="R20" s="13"/>
      <c r="S20" s="13"/>
      <c r="T20" s="13"/>
      <c r="U20" s="13"/>
    </row>
    <row r="21" spans="1:21" x14ac:dyDescent="0.25">
      <c r="A21" s="37"/>
      <c r="B21" s="37"/>
      <c r="C21" s="29"/>
      <c r="D21" s="29"/>
      <c r="E21" s="29"/>
      <c r="F21" s="29"/>
      <c r="G21" s="29"/>
      <c r="H21" s="54"/>
      <c r="I21" s="37"/>
      <c r="J21" s="29"/>
      <c r="K21" s="29"/>
      <c r="L21" s="29"/>
      <c r="M21" s="29"/>
      <c r="N21" s="56"/>
      <c r="O21" s="13"/>
      <c r="P21" s="13"/>
      <c r="Q21" s="13"/>
      <c r="R21" s="13"/>
      <c r="S21" s="13"/>
      <c r="T21" s="13"/>
      <c r="U21" s="13"/>
    </row>
    <row r="22" spans="1:21" x14ac:dyDescent="0.25">
      <c r="A22" s="20" t="s">
        <v>67</v>
      </c>
      <c r="B22" s="156">
        <f>Summary!$B$32+1</f>
        <v>2022</v>
      </c>
      <c r="C22" s="151">
        <f>B22+1</f>
        <v>2023</v>
      </c>
      <c r="D22" s="151">
        <f t="shared" ref="D22" si="15">C22+1</f>
        <v>2024</v>
      </c>
      <c r="E22" s="151">
        <f t="shared" ref="E22" si="16">D22+1</f>
        <v>2025</v>
      </c>
      <c r="F22" s="151">
        <f t="shared" ref="F22" si="17">E22+1</f>
        <v>2026</v>
      </c>
      <c r="G22" s="151">
        <f>F22+1</f>
        <v>2027</v>
      </c>
      <c r="H22" s="56"/>
      <c r="I22" s="156">
        <f>Summary!$B$32+1</f>
        <v>2022</v>
      </c>
      <c r="J22" s="151">
        <f>I22+1</f>
        <v>2023</v>
      </c>
      <c r="K22" s="151">
        <f t="shared" ref="K22" si="18">J22+1</f>
        <v>2024</v>
      </c>
      <c r="L22" s="151">
        <f t="shared" ref="L22" si="19">K22+1</f>
        <v>2025</v>
      </c>
      <c r="M22" s="151">
        <f t="shared" ref="M22" si="20">L22+1</f>
        <v>2026</v>
      </c>
      <c r="N22" s="65">
        <f>M22+1</f>
        <v>2027</v>
      </c>
      <c r="O22" s="13"/>
      <c r="P22" s="13"/>
      <c r="Q22" s="13"/>
      <c r="R22" s="13"/>
      <c r="S22" s="13"/>
      <c r="T22" s="13"/>
      <c r="U22" s="13"/>
    </row>
    <row r="23" spans="1:21" x14ac:dyDescent="0.25">
      <c r="A23" s="10" t="str">
        <f>$A$3</f>
        <v>Instruction</v>
      </c>
      <c r="B23" s="37"/>
      <c r="C23" s="155">
        <v>0</v>
      </c>
      <c r="D23" s="155">
        <v>0</v>
      </c>
      <c r="E23" s="155">
        <v>0</v>
      </c>
      <c r="F23" s="155">
        <v>0</v>
      </c>
      <c r="G23" s="155">
        <v>0</v>
      </c>
      <c r="H23" s="56"/>
      <c r="I23" s="37"/>
      <c r="J23" s="155">
        <v>0</v>
      </c>
      <c r="K23" s="155">
        <v>0</v>
      </c>
      <c r="L23" s="155">
        <v>0</v>
      </c>
      <c r="M23" s="155">
        <v>0</v>
      </c>
      <c r="N23" s="51">
        <v>0</v>
      </c>
      <c r="O23" s="13"/>
      <c r="P23" s="13"/>
      <c r="Q23" s="13"/>
      <c r="R23" s="13"/>
      <c r="S23" s="13"/>
      <c r="T23" s="13"/>
      <c r="U23" s="13"/>
    </row>
    <row r="24" spans="1:21" x14ac:dyDescent="0.25">
      <c r="A24" s="10" t="str">
        <f>$A$4</f>
        <v>Research</v>
      </c>
      <c r="B24" s="37"/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56"/>
      <c r="I24" s="37"/>
      <c r="J24" s="3">
        <v>0</v>
      </c>
      <c r="K24" s="3">
        <v>0</v>
      </c>
      <c r="L24" s="3">
        <v>0</v>
      </c>
      <c r="M24" s="3">
        <v>0</v>
      </c>
      <c r="N24" s="51">
        <v>0</v>
      </c>
      <c r="O24" s="13"/>
      <c r="P24" s="13"/>
      <c r="Q24" s="13"/>
      <c r="R24" s="13"/>
      <c r="S24" s="13"/>
      <c r="T24" s="13"/>
      <c r="U24" s="13"/>
    </row>
    <row r="25" spans="1:21" x14ac:dyDescent="0.25">
      <c r="A25" s="10" t="str">
        <f>$A$5</f>
        <v>Public service</v>
      </c>
      <c r="B25" s="37"/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56"/>
      <c r="I25" s="37"/>
      <c r="J25" s="3">
        <v>0</v>
      </c>
      <c r="K25" s="3">
        <v>0</v>
      </c>
      <c r="L25" s="3">
        <v>0</v>
      </c>
      <c r="M25" s="3">
        <v>0</v>
      </c>
      <c r="N25" s="51">
        <v>0</v>
      </c>
      <c r="O25" s="13"/>
      <c r="P25" s="13"/>
      <c r="Q25" s="13"/>
      <c r="R25" s="13"/>
      <c r="S25" s="13"/>
      <c r="T25" s="13"/>
      <c r="U25" s="13"/>
    </row>
    <row r="26" spans="1:21" x14ac:dyDescent="0.25">
      <c r="A26" s="10" t="str">
        <f>$A$6</f>
        <v>Academic support</v>
      </c>
      <c r="B26" s="37"/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56"/>
      <c r="I26" s="37"/>
      <c r="J26" s="3">
        <v>0</v>
      </c>
      <c r="K26" s="3">
        <v>0</v>
      </c>
      <c r="L26" s="3">
        <v>0</v>
      </c>
      <c r="M26" s="3">
        <v>0</v>
      </c>
      <c r="N26" s="51">
        <v>0</v>
      </c>
      <c r="O26" s="13"/>
      <c r="P26" s="13"/>
      <c r="Q26" s="13"/>
      <c r="R26" s="13"/>
      <c r="S26" s="13"/>
      <c r="T26" s="13"/>
      <c r="U26" s="13"/>
    </row>
    <row r="27" spans="1:21" x14ac:dyDescent="0.25">
      <c r="A27" s="10" t="str">
        <f>$A$7</f>
        <v>Student services</v>
      </c>
      <c r="B27" s="37"/>
      <c r="C27" s="3">
        <v>0</v>
      </c>
      <c r="D27" s="3">
        <v>3</v>
      </c>
      <c r="E27" s="3">
        <v>0</v>
      </c>
      <c r="F27" s="3">
        <v>0</v>
      </c>
      <c r="G27" s="3">
        <v>0</v>
      </c>
      <c r="H27" s="56"/>
      <c r="I27" s="37"/>
      <c r="J27" s="3">
        <v>0</v>
      </c>
      <c r="K27" s="3">
        <v>0</v>
      </c>
      <c r="L27" s="3">
        <v>0</v>
      </c>
      <c r="M27" s="3">
        <v>0</v>
      </c>
      <c r="N27" s="51">
        <v>0</v>
      </c>
      <c r="O27" s="13"/>
      <c r="P27" s="13"/>
      <c r="Q27" s="13"/>
      <c r="R27" s="13"/>
      <c r="S27" s="13"/>
      <c r="T27" s="13"/>
      <c r="U27" s="13"/>
    </row>
    <row r="28" spans="1:21" x14ac:dyDescent="0.25">
      <c r="A28" s="10" t="str">
        <f>$A$8</f>
        <v>Institutional support</v>
      </c>
      <c r="B28" s="37"/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56"/>
      <c r="I28" s="37"/>
      <c r="J28" s="3">
        <v>0</v>
      </c>
      <c r="K28" s="3">
        <v>0</v>
      </c>
      <c r="L28" s="3">
        <v>0</v>
      </c>
      <c r="M28" s="3">
        <v>0</v>
      </c>
      <c r="N28" s="51">
        <v>0</v>
      </c>
      <c r="O28" s="13"/>
      <c r="P28" s="13"/>
      <c r="Q28" s="13"/>
      <c r="R28" s="13"/>
      <c r="S28" s="13"/>
      <c r="T28" s="13"/>
      <c r="U28" s="13"/>
    </row>
    <row r="29" spans="1:21" x14ac:dyDescent="0.25">
      <c r="A29" s="10" t="str">
        <f>$A$9</f>
        <v>Auxiliary enterprises</v>
      </c>
      <c r="B29" s="37"/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56"/>
      <c r="I29" s="37"/>
      <c r="J29" s="3">
        <v>0</v>
      </c>
      <c r="K29" s="3">
        <v>0</v>
      </c>
      <c r="L29" s="3">
        <v>0</v>
      </c>
      <c r="M29" s="3">
        <v>0</v>
      </c>
      <c r="N29" s="51">
        <v>0</v>
      </c>
      <c r="O29" s="13"/>
      <c r="P29" s="13"/>
      <c r="Q29" s="13"/>
      <c r="R29" s="13"/>
      <c r="S29" s="13"/>
      <c r="T29" s="13"/>
      <c r="U29" s="13"/>
    </row>
    <row r="30" spans="1:21" x14ac:dyDescent="0.25">
      <c r="A30" s="10" t="str">
        <f>$A$10</f>
        <v>Hospital services</v>
      </c>
      <c r="B30" s="37"/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56"/>
      <c r="I30" s="37"/>
      <c r="J30" s="3">
        <v>0</v>
      </c>
      <c r="K30" s="3">
        <v>0</v>
      </c>
      <c r="L30" s="3">
        <v>0</v>
      </c>
      <c r="M30" s="3">
        <v>0</v>
      </c>
      <c r="N30" s="51">
        <v>0</v>
      </c>
      <c r="O30" s="13"/>
      <c r="P30" s="13"/>
      <c r="Q30" s="13"/>
      <c r="R30" s="13"/>
      <c r="S30" s="13"/>
      <c r="T30" s="13"/>
      <c r="U30" s="13"/>
    </row>
    <row r="31" spans="1:21" x14ac:dyDescent="0.25">
      <c r="A31" s="10" t="str">
        <f>$A$11</f>
        <v>Independent operatons</v>
      </c>
      <c r="B31" s="37"/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56"/>
      <c r="I31" s="37"/>
      <c r="J31" s="3">
        <v>0</v>
      </c>
      <c r="K31" s="3">
        <v>0</v>
      </c>
      <c r="L31" s="3">
        <v>0</v>
      </c>
      <c r="M31" s="3">
        <v>0</v>
      </c>
      <c r="N31" s="51">
        <v>0</v>
      </c>
      <c r="O31" s="13"/>
      <c r="P31" s="13"/>
      <c r="Q31" s="13"/>
      <c r="R31" s="13"/>
      <c r="S31" s="13"/>
      <c r="T31" s="13"/>
      <c r="U31" s="13"/>
    </row>
    <row r="32" spans="1:21" x14ac:dyDescent="0.25">
      <c r="A32" s="10" t="str">
        <f>$A$12</f>
        <v>Other functional expenses and deductions</v>
      </c>
      <c r="B32" s="37"/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56"/>
      <c r="I32" s="37"/>
      <c r="J32" s="3">
        <v>0</v>
      </c>
      <c r="K32" s="3">
        <v>0</v>
      </c>
      <c r="L32" s="3">
        <v>0</v>
      </c>
      <c r="M32" s="3">
        <v>0</v>
      </c>
      <c r="N32" s="51">
        <v>0</v>
      </c>
      <c r="O32" s="13"/>
      <c r="P32" s="13"/>
      <c r="Q32" s="13"/>
      <c r="R32" s="13"/>
      <c r="S32" s="13"/>
      <c r="T32" s="13"/>
      <c r="U32" s="13"/>
    </row>
    <row r="33" spans="1:22" ht="15.75" thickBot="1" x14ac:dyDescent="0.3">
      <c r="A33" s="10" t="str">
        <f>$A$13</f>
        <v>Plant Operations</v>
      </c>
      <c r="B33" s="38"/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57"/>
      <c r="I33" s="38"/>
      <c r="J33" s="39">
        <v>0</v>
      </c>
      <c r="K33" s="39">
        <v>2</v>
      </c>
      <c r="L33" s="39">
        <v>0</v>
      </c>
      <c r="M33" s="39">
        <v>0</v>
      </c>
      <c r="N33" s="165">
        <v>0</v>
      </c>
      <c r="O33" s="13"/>
      <c r="P33" s="13"/>
      <c r="Q33" s="13"/>
      <c r="R33" s="13"/>
      <c r="S33" s="13"/>
      <c r="T33" s="13"/>
      <c r="U33" s="13"/>
    </row>
    <row r="34" spans="1:22" ht="15.75" thickBo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</row>
    <row r="35" spans="1:22" x14ac:dyDescent="0.25">
      <c r="A35" s="56"/>
      <c r="B35" s="46"/>
      <c r="C35" s="47"/>
      <c r="D35" s="47"/>
      <c r="E35" s="74" t="s">
        <v>51</v>
      </c>
      <c r="F35" s="47"/>
      <c r="G35" s="77"/>
      <c r="H35" s="48" t="s">
        <v>50</v>
      </c>
      <c r="I35" s="78"/>
      <c r="J35" s="58"/>
      <c r="K35" s="47"/>
      <c r="L35" s="101" t="s">
        <v>39</v>
      </c>
      <c r="M35" s="47"/>
      <c r="N35" s="77"/>
      <c r="O35" s="48" t="s">
        <v>50</v>
      </c>
      <c r="P35" s="8"/>
      <c r="Q35" s="13"/>
      <c r="R35" s="13"/>
      <c r="S35" s="13"/>
      <c r="T35" s="13"/>
      <c r="U35" s="13"/>
      <c r="V35" s="13"/>
    </row>
    <row r="36" spans="1:22" x14ac:dyDescent="0.25">
      <c r="A36" s="9" t="s">
        <v>16</v>
      </c>
      <c r="B36" s="156">
        <f>Summary!$B$32+1</f>
        <v>2022</v>
      </c>
      <c r="C36" s="151">
        <f>B36+1</f>
        <v>2023</v>
      </c>
      <c r="D36" s="151">
        <f t="shared" ref="D36:F36" si="21">C36+1</f>
        <v>2024</v>
      </c>
      <c r="E36" s="151">
        <f t="shared" si="21"/>
        <v>2025</v>
      </c>
      <c r="F36" s="151">
        <f t="shared" si="21"/>
        <v>2026</v>
      </c>
      <c r="G36" s="151">
        <f>F36+1</f>
        <v>2027</v>
      </c>
      <c r="H36" s="79"/>
      <c r="I36" s="156">
        <f>Summary!$B$32+1</f>
        <v>2022</v>
      </c>
      <c r="J36" s="151">
        <f>I36+1</f>
        <v>2023</v>
      </c>
      <c r="K36" s="151">
        <f t="shared" ref="K36:N36" si="22">J36+1</f>
        <v>2024</v>
      </c>
      <c r="L36" s="151">
        <f t="shared" si="22"/>
        <v>2025</v>
      </c>
      <c r="M36" s="151">
        <f t="shared" si="22"/>
        <v>2026</v>
      </c>
      <c r="N36" s="151">
        <f t="shared" si="22"/>
        <v>2027</v>
      </c>
      <c r="O36" s="79"/>
      <c r="P36" s="13"/>
      <c r="Q36" s="13"/>
      <c r="R36" s="13"/>
      <c r="S36" s="13"/>
      <c r="T36" s="13"/>
      <c r="U36" s="13"/>
      <c r="V36" s="13"/>
    </row>
    <row r="37" spans="1:22" x14ac:dyDescent="0.25">
      <c r="A37" s="10" t="str">
        <f>$A$3</f>
        <v>Instruction</v>
      </c>
      <c r="B37" s="49">
        <f>B3</f>
        <v>120</v>
      </c>
      <c r="C37" s="45">
        <f>B37+$H$37+C16</f>
        <v>116</v>
      </c>
      <c r="D37" s="45">
        <f>C37+$H$37+D16</f>
        <v>112</v>
      </c>
      <c r="E37" s="45">
        <f>D37+$H$37+E16</f>
        <v>108</v>
      </c>
      <c r="F37" s="45">
        <f>E37+$H$37+F16</f>
        <v>108</v>
      </c>
      <c r="G37" s="45">
        <f>F37+$H$37+G16</f>
        <v>100</v>
      </c>
      <c r="H37" s="50">
        <f>Summary!B17</f>
        <v>-4</v>
      </c>
      <c r="I37" s="49">
        <f>I3</f>
        <v>20</v>
      </c>
      <c r="J37" s="45">
        <f>I37+$O$37</f>
        <v>28</v>
      </c>
      <c r="K37" s="45">
        <f t="shared" ref="K37:N37" si="23">J37+$O$37</f>
        <v>36</v>
      </c>
      <c r="L37" s="45">
        <f t="shared" si="23"/>
        <v>44</v>
      </c>
      <c r="M37" s="45">
        <f t="shared" si="23"/>
        <v>52</v>
      </c>
      <c r="N37" s="45">
        <f t="shared" si="23"/>
        <v>60</v>
      </c>
      <c r="O37" s="50">
        <f>Summary!$B$19</f>
        <v>8</v>
      </c>
      <c r="P37" s="13"/>
      <c r="Q37" s="13"/>
      <c r="R37" s="13"/>
      <c r="S37" s="13"/>
      <c r="T37" s="13"/>
      <c r="U37" s="13"/>
      <c r="V37" s="13"/>
    </row>
    <row r="38" spans="1:22" x14ac:dyDescent="0.25">
      <c r="A38" s="10" t="str">
        <f>$A$4</f>
        <v>Research</v>
      </c>
      <c r="B38" s="49">
        <f>B4</f>
        <v>0</v>
      </c>
      <c r="C38" s="45">
        <f>B38+$H$38+C17</f>
        <v>0</v>
      </c>
      <c r="D38" s="45">
        <f>C38+$H$38+D17</f>
        <v>0</v>
      </c>
      <c r="E38" s="45">
        <f>D38+$H$38+E17</f>
        <v>0</v>
      </c>
      <c r="F38" s="45">
        <f>E38+$H$38+F17</f>
        <v>0</v>
      </c>
      <c r="G38" s="45">
        <f>F38+$H$38+G17</f>
        <v>0</v>
      </c>
      <c r="H38" s="51">
        <v>0</v>
      </c>
      <c r="I38" s="49">
        <f>I4</f>
        <v>0</v>
      </c>
      <c r="J38" s="45">
        <f>I38+$O$38</f>
        <v>0</v>
      </c>
      <c r="K38" s="45">
        <f t="shared" ref="K38:N38" si="24">J38+$O$38</f>
        <v>0</v>
      </c>
      <c r="L38" s="45">
        <f t="shared" si="24"/>
        <v>0</v>
      </c>
      <c r="M38" s="45">
        <f t="shared" si="24"/>
        <v>0</v>
      </c>
      <c r="N38" s="45">
        <f t="shared" si="24"/>
        <v>0</v>
      </c>
      <c r="O38" s="51">
        <v>0</v>
      </c>
      <c r="P38" s="13"/>
      <c r="Q38" s="13"/>
      <c r="R38" s="13"/>
      <c r="S38" s="13"/>
      <c r="T38" s="13"/>
      <c r="U38" s="13"/>
      <c r="V38" s="13"/>
    </row>
    <row r="39" spans="1:22" x14ac:dyDescent="0.25">
      <c r="A39" s="10" t="str">
        <f>$A$5</f>
        <v>Public service</v>
      </c>
      <c r="B39" s="49">
        <f>B5</f>
        <v>0</v>
      </c>
      <c r="C39" s="45">
        <f>B39+$H$39+C18</f>
        <v>0</v>
      </c>
      <c r="D39" s="45">
        <f>C39+$H$39+D18</f>
        <v>0</v>
      </c>
      <c r="E39" s="45">
        <f>D39+$H$39+E18</f>
        <v>0</v>
      </c>
      <c r="F39" s="45">
        <f>E39+$H$39+F18</f>
        <v>0</v>
      </c>
      <c r="G39" s="45">
        <f>F39+$H$39+G18</f>
        <v>0</v>
      </c>
      <c r="H39" s="51">
        <v>0</v>
      </c>
      <c r="I39" s="49">
        <f>I5</f>
        <v>0</v>
      </c>
      <c r="J39" s="45">
        <f>I39+$O$39</f>
        <v>0</v>
      </c>
      <c r="K39" s="45">
        <f t="shared" ref="K39:N39" si="25">J39+$O$39</f>
        <v>0</v>
      </c>
      <c r="L39" s="45">
        <f t="shared" si="25"/>
        <v>0</v>
      </c>
      <c r="M39" s="45">
        <f t="shared" si="25"/>
        <v>0</v>
      </c>
      <c r="N39" s="45">
        <f t="shared" si="25"/>
        <v>0</v>
      </c>
      <c r="O39" s="51">
        <v>0</v>
      </c>
      <c r="P39" s="13"/>
      <c r="Q39" s="13"/>
      <c r="R39" s="13"/>
      <c r="S39" s="13"/>
      <c r="T39" s="13"/>
      <c r="U39" s="13"/>
      <c r="V39" s="13"/>
    </row>
    <row r="40" spans="1:22" x14ac:dyDescent="0.25">
      <c r="A40" s="10" t="str">
        <f>$A$6</f>
        <v>Academic support</v>
      </c>
      <c r="B40" s="49">
        <f>B6</f>
        <v>10</v>
      </c>
      <c r="C40" s="45">
        <f>B40+$H$40+C19</f>
        <v>10</v>
      </c>
      <c r="D40" s="45">
        <f>C40+$H$40+D19</f>
        <v>10</v>
      </c>
      <c r="E40" s="45">
        <f>D40+$H$40+E19</f>
        <v>10</v>
      </c>
      <c r="F40" s="45">
        <f>E40+$H$40+F19</f>
        <v>10</v>
      </c>
      <c r="G40" s="45">
        <f>F40+$H$40+G19</f>
        <v>10</v>
      </c>
      <c r="H40" s="51">
        <v>0</v>
      </c>
      <c r="I40" s="49">
        <f>I6</f>
        <v>0</v>
      </c>
      <c r="J40" s="45">
        <f>I40+$O$40</f>
        <v>0</v>
      </c>
      <c r="K40" s="45">
        <f t="shared" ref="K40:N40" si="26">J40+$O$40</f>
        <v>0</v>
      </c>
      <c r="L40" s="45">
        <f t="shared" si="26"/>
        <v>0</v>
      </c>
      <c r="M40" s="45">
        <f t="shared" si="26"/>
        <v>0</v>
      </c>
      <c r="N40" s="45">
        <f t="shared" si="26"/>
        <v>0</v>
      </c>
      <c r="O40" s="51">
        <v>0</v>
      </c>
      <c r="P40" s="13"/>
      <c r="Q40" s="13"/>
      <c r="R40" s="13"/>
      <c r="S40" s="13"/>
      <c r="T40" s="13"/>
      <c r="U40" s="13"/>
      <c r="V40" s="13"/>
    </row>
    <row r="41" spans="1:22" x14ac:dyDescent="0.25">
      <c r="A41" s="40"/>
      <c r="B41" s="52"/>
      <c r="C41" s="53"/>
      <c r="D41" s="53"/>
      <c r="E41" s="53"/>
      <c r="F41" s="53"/>
      <c r="G41" s="53"/>
      <c r="H41" s="54"/>
      <c r="I41" s="37"/>
      <c r="J41" s="29"/>
      <c r="K41" s="29"/>
      <c r="L41" s="29"/>
      <c r="M41" s="29"/>
      <c r="N41" s="29"/>
      <c r="O41" s="56"/>
      <c r="P41" s="13"/>
      <c r="Q41" s="13"/>
      <c r="R41" s="13"/>
      <c r="S41" s="13"/>
      <c r="T41" s="13"/>
      <c r="U41" s="13"/>
      <c r="V41" s="13"/>
    </row>
    <row r="42" spans="1:22" x14ac:dyDescent="0.25">
      <c r="A42" s="10"/>
      <c r="B42" s="37"/>
      <c r="C42" s="29"/>
      <c r="D42" s="29"/>
      <c r="E42" s="29"/>
      <c r="F42" s="29"/>
      <c r="G42" s="29"/>
      <c r="H42" s="55" t="s">
        <v>20</v>
      </c>
      <c r="I42" s="37"/>
      <c r="J42" s="29"/>
      <c r="K42" s="29"/>
      <c r="L42" s="29"/>
      <c r="M42" s="29"/>
      <c r="N42" s="29"/>
      <c r="O42" s="55" t="s">
        <v>20</v>
      </c>
      <c r="P42" s="13"/>
      <c r="Q42" s="13"/>
      <c r="R42" s="13"/>
      <c r="S42" s="13"/>
      <c r="T42" s="13"/>
      <c r="U42" s="13"/>
      <c r="V42" s="13"/>
    </row>
    <row r="43" spans="1:22" x14ac:dyDescent="0.25">
      <c r="A43" s="20" t="s">
        <v>17</v>
      </c>
      <c r="B43" s="156">
        <f>Summary!$B$32+1</f>
        <v>2022</v>
      </c>
      <c r="C43" s="151">
        <f>B43+1</f>
        <v>2023</v>
      </c>
      <c r="D43" s="151">
        <f t="shared" ref="D43:F43" si="27">C43+1</f>
        <v>2024</v>
      </c>
      <c r="E43" s="151">
        <f t="shared" si="27"/>
        <v>2025</v>
      </c>
      <c r="F43" s="151">
        <f t="shared" si="27"/>
        <v>2026</v>
      </c>
      <c r="G43" s="151">
        <f>F43+1</f>
        <v>2027</v>
      </c>
      <c r="H43" s="50">
        <f>Summary!B18</f>
        <v>-3</v>
      </c>
      <c r="I43" s="156">
        <f>Summary!$B$32+1</f>
        <v>2022</v>
      </c>
      <c r="J43" s="151">
        <f>I43+1</f>
        <v>2023</v>
      </c>
      <c r="K43" s="151">
        <f t="shared" ref="K43" si="28">J43+1</f>
        <v>2024</v>
      </c>
      <c r="L43" s="151">
        <f t="shared" ref="L43" si="29">K43+1</f>
        <v>2025</v>
      </c>
      <c r="M43" s="151">
        <f t="shared" ref="M43" si="30">L43+1</f>
        <v>2026</v>
      </c>
      <c r="N43" s="151">
        <f>M43+1</f>
        <v>2027</v>
      </c>
      <c r="O43" s="50">
        <f>Summary!$B$20</f>
        <v>-1</v>
      </c>
      <c r="P43" s="13"/>
      <c r="Q43" s="13"/>
      <c r="R43" s="13"/>
      <c r="S43" s="13"/>
      <c r="T43" s="13"/>
      <c r="U43" s="13"/>
      <c r="V43" s="13"/>
    </row>
    <row r="44" spans="1:22" x14ac:dyDescent="0.25">
      <c r="A44" s="10" t="str">
        <f>$A$3</f>
        <v>Instruction</v>
      </c>
      <c r="B44" s="86">
        <f t="shared" ref="B44:B54" si="31">E3</f>
        <v>20</v>
      </c>
      <c r="C44" s="22">
        <f>Staffing!B44+C23+(B44/B$55)*$H$43</f>
        <v>19.636363636363637</v>
      </c>
      <c r="D44" s="22">
        <f>Staffing!C44+D23+(C44/C$55)*$H$43</f>
        <v>19.272727272727273</v>
      </c>
      <c r="E44" s="22">
        <f>Staffing!D44+E23+(D44/D$55)*$H$43</f>
        <v>18.915824915824917</v>
      </c>
      <c r="F44" s="22">
        <f>Staffing!E44+F23+(E44/E$55)*$H$43</f>
        <v>18.558922558922561</v>
      </c>
      <c r="G44" s="22">
        <f>Staffing!F44+G23+(F44/F$55)*$H$43</f>
        <v>18.202020202020204</v>
      </c>
      <c r="H44" s="56"/>
      <c r="I44" s="86">
        <f t="shared" ref="I44:I54" si="32">L3</f>
        <v>5</v>
      </c>
      <c r="J44" s="22">
        <f>Staffing!I44+J23+(I44/I$55)*$O$43</f>
        <v>4.9333333333333336</v>
      </c>
      <c r="K44" s="22">
        <f>Staffing!J44+K23+(J44/J$55)*$O$43</f>
        <v>4.8666666666666671</v>
      </c>
      <c r="L44" s="22">
        <f>Staffing!K44+L23+(K44/K$55)*$O$43</f>
        <v>4.8017777777777786</v>
      </c>
      <c r="M44" s="22">
        <f>Staffing!L44+M23+(L44/L$55)*$O$43</f>
        <v>4.73688888888889</v>
      </c>
      <c r="N44" s="22">
        <f>Staffing!M44+N23+(M44/M$55)*$O$43</f>
        <v>4.6720000000000015</v>
      </c>
      <c r="O44" s="56"/>
      <c r="P44" s="13"/>
      <c r="Q44" s="13"/>
      <c r="R44" s="13"/>
      <c r="S44" s="13"/>
      <c r="T44" s="13"/>
      <c r="U44" s="13"/>
      <c r="V44" s="13"/>
    </row>
    <row r="45" spans="1:22" x14ac:dyDescent="0.25">
      <c r="A45" s="10" t="str">
        <f>$A$4</f>
        <v>Research</v>
      </c>
      <c r="B45" s="86">
        <f t="shared" si="31"/>
        <v>20</v>
      </c>
      <c r="C45" s="22">
        <f>Staffing!B45+C24+(B45/B$55)*$H$43</f>
        <v>19.636363636363637</v>
      </c>
      <c r="D45" s="22">
        <f>Staffing!C45+D24+(C45/C$55)*$H$43</f>
        <v>19.272727272727273</v>
      </c>
      <c r="E45" s="22">
        <f>Staffing!D45+E24+(D45/D$55)*$H$43</f>
        <v>18.915824915824917</v>
      </c>
      <c r="F45" s="22">
        <f>Staffing!E45+F24+(E45/E$55)*$H$43</f>
        <v>18.558922558922561</v>
      </c>
      <c r="G45" s="22">
        <f>Staffing!F45+G24+(F45/F$55)*$H$43</f>
        <v>18.202020202020204</v>
      </c>
      <c r="H45" s="56"/>
      <c r="I45" s="86">
        <f t="shared" si="32"/>
        <v>0</v>
      </c>
      <c r="J45" s="22">
        <f>Staffing!I45+J24+(I45/I$55)*$O$43</f>
        <v>0</v>
      </c>
      <c r="K45" s="22">
        <f>Staffing!J45+K24+(J45/J$55)*$O$43</f>
        <v>0</v>
      </c>
      <c r="L45" s="22">
        <f>Staffing!K45+L24+(K45/K$55)*$O$43</f>
        <v>0</v>
      </c>
      <c r="M45" s="22">
        <f>Staffing!L45+M24+(L45/L$55)*$O$43</f>
        <v>0</v>
      </c>
      <c r="N45" s="22">
        <f>Staffing!M45+N24+(M45/M$55)*$O$43</f>
        <v>0</v>
      </c>
      <c r="O45" s="56"/>
      <c r="P45" s="13"/>
      <c r="Q45" s="13"/>
      <c r="R45" s="13"/>
      <c r="S45" s="13"/>
      <c r="T45" s="13"/>
      <c r="U45" s="13"/>
      <c r="V45" s="13"/>
    </row>
    <row r="46" spans="1:22" x14ac:dyDescent="0.25">
      <c r="A46" s="10" t="str">
        <f>$A$5</f>
        <v>Public service</v>
      </c>
      <c r="B46" s="86">
        <f t="shared" si="31"/>
        <v>20</v>
      </c>
      <c r="C46" s="22">
        <f>Staffing!B46+C25+(B46/B$55)*$H$43</f>
        <v>19.636363636363637</v>
      </c>
      <c r="D46" s="22">
        <f>Staffing!C46+D25+(C46/C$55)*$H$43</f>
        <v>19.272727272727273</v>
      </c>
      <c r="E46" s="22">
        <f>Staffing!D46+E25+(D46/D$55)*$H$43</f>
        <v>18.915824915824917</v>
      </c>
      <c r="F46" s="22">
        <f>Staffing!E46+F25+(E46/E$55)*$H$43</f>
        <v>18.558922558922561</v>
      </c>
      <c r="G46" s="22">
        <f>Staffing!F46+G25+(F46/F$55)*$H$43</f>
        <v>18.202020202020204</v>
      </c>
      <c r="H46" s="56"/>
      <c r="I46" s="86">
        <f t="shared" si="32"/>
        <v>0</v>
      </c>
      <c r="J46" s="22">
        <f>Staffing!I46+J25+(I46/I$55)*$O$43</f>
        <v>0</v>
      </c>
      <c r="K46" s="22">
        <f>Staffing!J46+K25+(J46/J$55)*$O$43</f>
        <v>0</v>
      </c>
      <c r="L46" s="22">
        <f>Staffing!K46+L25+(K46/K$55)*$O$43</f>
        <v>0</v>
      </c>
      <c r="M46" s="22">
        <f>Staffing!L46+M25+(L46/L$55)*$O$43</f>
        <v>0</v>
      </c>
      <c r="N46" s="22">
        <f>Staffing!M46+N25+(M46/M$55)*$O$43</f>
        <v>0</v>
      </c>
      <c r="O46" s="56"/>
      <c r="P46" s="13"/>
      <c r="Q46" s="13"/>
      <c r="R46" s="13"/>
      <c r="S46" s="13"/>
      <c r="T46" s="13"/>
      <c r="U46" s="13"/>
      <c r="V46" s="13"/>
    </row>
    <row r="47" spans="1:22" x14ac:dyDescent="0.25">
      <c r="A47" s="10" t="str">
        <f>$A$6</f>
        <v>Academic support</v>
      </c>
      <c r="B47" s="86">
        <f t="shared" si="31"/>
        <v>25</v>
      </c>
      <c r="C47" s="22">
        <f>Staffing!B47+C26+(B47/B$55)*$H$43</f>
        <v>24.545454545454547</v>
      </c>
      <c r="D47" s="22">
        <f>Staffing!C47+D26+(C47/C$55)*$H$43</f>
        <v>24.090909090909093</v>
      </c>
      <c r="E47" s="22">
        <f>Staffing!D47+E26+(D47/D$55)*$H$43</f>
        <v>23.644781144781149</v>
      </c>
      <c r="F47" s="22">
        <f>Staffing!E47+F26+(E47/E$55)*$H$43</f>
        <v>23.198653198653204</v>
      </c>
      <c r="G47" s="22">
        <f>Staffing!F47+G26+(F47/F$55)*$H$43</f>
        <v>22.75252525252526</v>
      </c>
      <c r="H47" s="56"/>
      <c r="I47" s="86">
        <f t="shared" si="32"/>
        <v>20</v>
      </c>
      <c r="J47" s="22">
        <f>Staffing!I47+J26+(I47/I$55)*$O$43</f>
        <v>19.733333333333334</v>
      </c>
      <c r="K47" s="22">
        <f>Staffing!J47+K26+(J47/J$55)*$O$43</f>
        <v>19.466666666666669</v>
      </c>
      <c r="L47" s="22">
        <f>Staffing!K47+L26+(K47/K$55)*$O$43</f>
        <v>19.207111111111114</v>
      </c>
      <c r="M47" s="22">
        <f>Staffing!L47+M26+(L47/L$55)*$O$43</f>
        <v>18.94755555555556</v>
      </c>
      <c r="N47" s="22">
        <f>Staffing!M47+N26+(M47/M$55)*$O$43</f>
        <v>18.688000000000006</v>
      </c>
      <c r="O47" s="56"/>
      <c r="P47" s="13"/>
      <c r="Q47" s="13"/>
      <c r="R47" s="13"/>
      <c r="S47" s="13"/>
      <c r="T47" s="13"/>
      <c r="U47" s="13"/>
      <c r="V47" s="13"/>
    </row>
    <row r="48" spans="1:22" x14ac:dyDescent="0.25">
      <c r="A48" s="10" t="str">
        <f>$A$7</f>
        <v>Student services</v>
      </c>
      <c r="B48" s="86">
        <f t="shared" si="31"/>
        <v>30</v>
      </c>
      <c r="C48" s="22">
        <f>Staffing!B48+C27+(B48/B$55)*$H$43</f>
        <v>29.454545454545453</v>
      </c>
      <c r="D48" s="22">
        <f>Staffing!C48+D27+(C48/C$55)*$H$43</f>
        <v>31.909090909090907</v>
      </c>
      <c r="E48" s="22">
        <f>Staffing!D48+E27+(D48/D$55)*$H$43</f>
        <v>31.318181818181817</v>
      </c>
      <c r="F48" s="22">
        <f>Staffing!E48+F27+(E48/E$55)*$H$43</f>
        <v>30.727272727272727</v>
      </c>
      <c r="G48" s="22">
        <f>Staffing!F48+G27+(F48/F$55)*$H$43</f>
        <v>30.136363636363637</v>
      </c>
      <c r="H48" s="56"/>
      <c r="I48" s="86">
        <f t="shared" si="32"/>
        <v>20</v>
      </c>
      <c r="J48" s="22">
        <f>Staffing!I48+J27+(I48/I$55)*$O$43</f>
        <v>19.733333333333334</v>
      </c>
      <c r="K48" s="22">
        <f>Staffing!J48+K27+(J48/J$55)*$O$43</f>
        <v>19.466666666666669</v>
      </c>
      <c r="L48" s="22">
        <f>Staffing!K48+L27+(K48/K$55)*$O$43</f>
        <v>19.207111111111114</v>
      </c>
      <c r="M48" s="22">
        <f>Staffing!L48+M27+(L48/L$55)*$O$43</f>
        <v>18.94755555555556</v>
      </c>
      <c r="N48" s="22">
        <f>Staffing!M48+N27+(M48/M$55)*$O$43</f>
        <v>18.688000000000006</v>
      </c>
      <c r="O48" s="56"/>
      <c r="P48" s="13"/>
      <c r="Q48" s="13"/>
      <c r="R48" s="13"/>
      <c r="S48" s="13"/>
      <c r="T48" s="13"/>
      <c r="U48" s="13"/>
      <c r="V48" s="13"/>
    </row>
    <row r="49" spans="1:22" x14ac:dyDescent="0.25">
      <c r="A49" s="10" t="str">
        <f>$A$8</f>
        <v>Institutional support</v>
      </c>
      <c r="B49" s="86">
        <f t="shared" si="31"/>
        <v>20</v>
      </c>
      <c r="C49" s="22">
        <f>Staffing!B49+C28+(B49/B$55)*$H$43</f>
        <v>19.636363636363637</v>
      </c>
      <c r="D49" s="22">
        <f>Staffing!C49+D28+(C49/C$55)*$H$43</f>
        <v>19.272727272727273</v>
      </c>
      <c r="E49" s="22">
        <f>Staffing!D49+E28+(D49/D$55)*$H$43</f>
        <v>18.915824915824917</v>
      </c>
      <c r="F49" s="22">
        <f>Staffing!E49+F28+(E49/E$55)*$H$43</f>
        <v>18.558922558922561</v>
      </c>
      <c r="G49" s="22">
        <f>Staffing!F49+G28+(F49/F$55)*$H$43</f>
        <v>18.202020202020204</v>
      </c>
      <c r="H49" s="56"/>
      <c r="I49" s="86">
        <f t="shared" si="32"/>
        <v>5</v>
      </c>
      <c r="J49" s="22">
        <f>Staffing!I49+J28+(I49/I$55)*$O$43</f>
        <v>4.9333333333333336</v>
      </c>
      <c r="K49" s="22">
        <f>Staffing!J49+K28+(J49/J$55)*$O$43</f>
        <v>4.8666666666666671</v>
      </c>
      <c r="L49" s="22">
        <f>Staffing!K49+L28+(K49/K$55)*$O$43</f>
        <v>4.8017777777777786</v>
      </c>
      <c r="M49" s="22">
        <f>Staffing!L49+M28+(L49/L$55)*$O$43</f>
        <v>4.73688888888889</v>
      </c>
      <c r="N49" s="22">
        <f>Staffing!M49+N28+(M49/M$55)*$O$43</f>
        <v>4.6720000000000015</v>
      </c>
      <c r="O49" s="56"/>
      <c r="P49" s="13"/>
      <c r="Q49" s="13"/>
      <c r="R49" s="13"/>
      <c r="S49" s="13"/>
      <c r="T49" s="13"/>
      <c r="U49" s="13"/>
      <c r="V49" s="13"/>
    </row>
    <row r="50" spans="1:22" x14ac:dyDescent="0.25">
      <c r="A50" s="10" t="str">
        <f>$A$9</f>
        <v>Auxiliary enterprises</v>
      </c>
      <c r="B50" s="86">
        <f t="shared" si="31"/>
        <v>10</v>
      </c>
      <c r="C50" s="22">
        <f>Staffing!B50+C29+(B50/B$55)*$H$43</f>
        <v>9.8181818181818183</v>
      </c>
      <c r="D50" s="22">
        <f>Staffing!C50+D29+(C50/C$55)*$H$43</f>
        <v>9.6363636363636367</v>
      </c>
      <c r="E50" s="22">
        <f>Staffing!D50+E29+(D50/D$55)*$H$43</f>
        <v>9.4579124579124585</v>
      </c>
      <c r="F50" s="22">
        <f>Staffing!E50+F29+(E50/E$55)*$H$43</f>
        <v>9.2794612794612803</v>
      </c>
      <c r="G50" s="22">
        <f>Staffing!F50+G29+(F50/F$55)*$H$43</f>
        <v>9.1010101010101021</v>
      </c>
      <c r="H50" s="56"/>
      <c r="I50" s="86">
        <f t="shared" si="32"/>
        <v>20</v>
      </c>
      <c r="J50" s="22">
        <f>Staffing!I50+J29+(I50/I$55)*$O$43</f>
        <v>19.733333333333334</v>
      </c>
      <c r="K50" s="22">
        <f>Staffing!J50+K29+(J50/J$55)*$O$43</f>
        <v>19.466666666666669</v>
      </c>
      <c r="L50" s="22">
        <f>Staffing!K50+L29+(K50/K$55)*$O$43</f>
        <v>19.207111111111114</v>
      </c>
      <c r="M50" s="22">
        <f>Staffing!L50+M29+(L50/L$55)*$O$43</f>
        <v>18.94755555555556</v>
      </c>
      <c r="N50" s="22">
        <f>Staffing!M50+N29+(M50/M$55)*$O$43</f>
        <v>18.688000000000006</v>
      </c>
      <c r="O50" s="56"/>
      <c r="P50" s="13"/>
      <c r="Q50" s="13"/>
      <c r="R50" s="13"/>
      <c r="S50" s="13"/>
      <c r="T50" s="13"/>
      <c r="U50" s="13"/>
      <c r="V50" s="13"/>
    </row>
    <row r="51" spans="1:22" x14ac:dyDescent="0.25">
      <c r="A51" s="10" t="str">
        <f>$A$10</f>
        <v>Hospital services</v>
      </c>
      <c r="B51" s="86">
        <f t="shared" si="31"/>
        <v>0</v>
      </c>
      <c r="C51" s="22">
        <f>Staffing!B51+C30+(B51/B$55)*$H$43</f>
        <v>0</v>
      </c>
      <c r="D51" s="22">
        <f>Staffing!C51+D30+(C51/C$55)*$H$43</f>
        <v>0</v>
      </c>
      <c r="E51" s="22">
        <f>Staffing!D51+E30+(D51/D$55)*$H$43</f>
        <v>0</v>
      </c>
      <c r="F51" s="22">
        <f>Staffing!E51+F30+(E51/E$55)*$H$43</f>
        <v>0</v>
      </c>
      <c r="G51" s="22">
        <f>Staffing!F51+G30+(F51/F$55)*$H$43</f>
        <v>0</v>
      </c>
      <c r="H51" s="56"/>
      <c r="I51" s="86">
        <f t="shared" si="32"/>
        <v>0</v>
      </c>
      <c r="J51" s="22">
        <f>Staffing!I51+J30+(I51/I$55)*$O$43</f>
        <v>0</v>
      </c>
      <c r="K51" s="22">
        <f>Staffing!J51+K30+(J51/J$55)*$O$43</f>
        <v>0</v>
      </c>
      <c r="L51" s="22">
        <f>Staffing!K51+L30+(K51/K$55)*$O$43</f>
        <v>0</v>
      </c>
      <c r="M51" s="22">
        <f>Staffing!L51+M30+(L51/L$55)*$O$43</f>
        <v>0</v>
      </c>
      <c r="N51" s="22">
        <f>Staffing!M51+N30+(M51/M$55)*$O$43</f>
        <v>0</v>
      </c>
      <c r="O51" s="56"/>
      <c r="P51" s="13"/>
      <c r="Q51" s="13"/>
      <c r="R51" s="13"/>
      <c r="S51" s="13"/>
      <c r="T51" s="13"/>
      <c r="U51" s="13"/>
      <c r="V51" s="13"/>
    </row>
    <row r="52" spans="1:22" x14ac:dyDescent="0.25">
      <c r="A52" s="10" t="str">
        <f>$A$11</f>
        <v>Independent operatons</v>
      </c>
      <c r="B52" s="86">
        <f t="shared" si="31"/>
        <v>0</v>
      </c>
      <c r="C52" s="22">
        <f>Staffing!B52+C31+(B52/B$55)*$H$43</f>
        <v>0</v>
      </c>
      <c r="D52" s="22">
        <f>Staffing!C52+D31+(C52/C$55)*$H$43</f>
        <v>0</v>
      </c>
      <c r="E52" s="22">
        <f>Staffing!D52+E31+(D52/D$55)*$H$43</f>
        <v>0</v>
      </c>
      <c r="F52" s="22">
        <f>Staffing!E52+F31+(E52/E$55)*$H$43</f>
        <v>0</v>
      </c>
      <c r="G52" s="22">
        <f>Staffing!F52+G31+(F52/F$55)*$H$43</f>
        <v>0</v>
      </c>
      <c r="H52" s="56"/>
      <c r="I52" s="86">
        <f t="shared" si="32"/>
        <v>0</v>
      </c>
      <c r="J52" s="22">
        <f>Staffing!I52+J31+(I52/I$55)*$O$43</f>
        <v>0</v>
      </c>
      <c r="K52" s="22">
        <f>Staffing!J52+K31+(J52/J$55)*$O$43</f>
        <v>0</v>
      </c>
      <c r="L52" s="22">
        <f>Staffing!K52+L31+(K52/K$55)*$O$43</f>
        <v>0</v>
      </c>
      <c r="M52" s="22">
        <f>Staffing!L52+M31+(L52/L$55)*$O$43</f>
        <v>0</v>
      </c>
      <c r="N52" s="22">
        <f>Staffing!M52+N31+(M52/M$55)*$O$43</f>
        <v>0</v>
      </c>
      <c r="O52" s="56"/>
      <c r="P52" s="13"/>
      <c r="Q52" s="13"/>
      <c r="R52" s="13"/>
      <c r="S52" s="13"/>
      <c r="T52" s="13"/>
      <c r="U52" s="13"/>
      <c r="V52" s="13"/>
    </row>
    <row r="53" spans="1:22" x14ac:dyDescent="0.25">
      <c r="A53" s="10" t="str">
        <f>$A$12</f>
        <v>Other functional expenses and deductions</v>
      </c>
      <c r="B53" s="86">
        <f t="shared" si="31"/>
        <v>0</v>
      </c>
      <c r="C53" s="22">
        <f>Staffing!B53+C32+(B53/B$55)*$H$43</f>
        <v>0</v>
      </c>
      <c r="D53" s="22">
        <f>Staffing!C53+D32+(C53/C$55)*$H$43</f>
        <v>0</v>
      </c>
      <c r="E53" s="22">
        <f>Staffing!D53+E32+(D53/D$55)*$H$43</f>
        <v>0</v>
      </c>
      <c r="F53" s="22">
        <f>Staffing!E53+F32+(E53/E$55)*$H$43</f>
        <v>0</v>
      </c>
      <c r="G53" s="22">
        <f>Staffing!F53+G32+(F53/F$55)*$H$43</f>
        <v>0</v>
      </c>
      <c r="H53" s="56"/>
      <c r="I53" s="86">
        <f t="shared" si="32"/>
        <v>0</v>
      </c>
      <c r="J53" s="22">
        <f>Staffing!I53+J32+(I53/I$55)*$O$43</f>
        <v>0</v>
      </c>
      <c r="K53" s="22">
        <f>Staffing!J53+K32+(J53/J$55)*$O$43</f>
        <v>0</v>
      </c>
      <c r="L53" s="22">
        <f>Staffing!K53+L32+(K53/K$55)*$O$43</f>
        <v>0</v>
      </c>
      <c r="M53" s="22">
        <f>Staffing!L53+M32+(L53/L$55)*$O$43</f>
        <v>0</v>
      </c>
      <c r="N53" s="22">
        <f>Staffing!M53+N32+(M53/M$55)*$O$43</f>
        <v>0</v>
      </c>
      <c r="O53" s="56"/>
      <c r="P53" s="13"/>
      <c r="Q53" s="13"/>
      <c r="R53" s="13"/>
      <c r="S53" s="13"/>
      <c r="T53" s="13"/>
      <c r="U53" s="13"/>
      <c r="V53" s="13"/>
    </row>
    <row r="54" spans="1:22" x14ac:dyDescent="0.25">
      <c r="A54" s="10" t="str">
        <f>$A$13</f>
        <v>Plant Operations</v>
      </c>
      <c r="B54" s="241">
        <f t="shared" si="31"/>
        <v>20</v>
      </c>
      <c r="C54" s="5">
        <f>Staffing!B54+C33+(B54/B$55)*$H$43</f>
        <v>19.636363636363637</v>
      </c>
      <c r="D54" s="5">
        <f>Staffing!C54+D33+(C54/C$55)*$H$43</f>
        <v>19.272727272727273</v>
      </c>
      <c r="E54" s="5">
        <f>Staffing!D54+E33+(D54/D$55)*$H$43</f>
        <v>18.915824915824917</v>
      </c>
      <c r="F54" s="5">
        <f>Staffing!E54+F33+(E54/E$55)*$H$43</f>
        <v>18.558922558922561</v>
      </c>
      <c r="G54" s="5">
        <f>Staffing!F54+G33+(F54/F$55)*$H$43</f>
        <v>18.202020202020204</v>
      </c>
      <c r="H54" s="56"/>
      <c r="I54" s="241">
        <f t="shared" si="32"/>
        <v>5</v>
      </c>
      <c r="J54" s="5">
        <f>Staffing!I54+J33+(I54/I$55)*$O$43</f>
        <v>4.9333333333333336</v>
      </c>
      <c r="K54" s="5">
        <f>Staffing!J54+K33+(J54/J$55)*$O$43</f>
        <v>6.8666666666666671</v>
      </c>
      <c r="L54" s="5">
        <f>Staffing!K54+L33+(K54/K$55)*$O$43</f>
        <v>6.7751111111111113</v>
      </c>
      <c r="M54" s="5">
        <f>Staffing!L54+M33+(L54/L$55)*$O$43</f>
        <v>6.6835555555555555</v>
      </c>
      <c r="N54" s="5">
        <f>Staffing!M54+N33+(M54/M$55)*$O$43</f>
        <v>6.5919999999999996</v>
      </c>
      <c r="O54" s="56"/>
      <c r="P54" s="13"/>
      <c r="Q54" s="13"/>
      <c r="R54" s="13"/>
      <c r="S54" s="13"/>
      <c r="T54" s="13"/>
      <c r="U54" s="13"/>
      <c r="V54" s="13"/>
    </row>
    <row r="55" spans="1:22" ht="15.75" thickBot="1" x14ac:dyDescent="0.3">
      <c r="A55" s="10"/>
      <c r="B55" s="87">
        <f t="shared" ref="B55:G55" si="33">SUM(B44:B54)</f>
        <v>165</v>
      </c>
      <c r="C55" s="88">
        <f t="shared" si="33"/>
        <v>161.99999999999997</v>
      </c>
      <c r="D55" s="88">
        <f t="shared" si="33"/>
        <v>162</v>
      </c>
      <c r="E55" s="88">
        <f t="shared" si="33"/>
        <v>159.00000000000003</v>
      </c>
      <c r="F55" s="88">
        <f t="shared" si="33"/>
        <v>156</v>
      </c>
      <c r="G55" s="88">
        <f t="shared" si="33"/>
        <v>153.00000000000003</v>
      </c>
      <c r="H55" s="57"/>
      <c r="I55" s="87">
        <f t="shared" ref="I55:N55" si="34">SUM(I44:I54)</f>
        <v>75</v>
      </c>
      <c r="J55" s="88">
        <f t="shared" si="34"/>
        <v>74.000000000000014</v>
      </c>
      <c r="K55" s="88">
        <f t="shared" si="34"/>
        <v>75</v>
      </c>
      <c r="L55" s="88">
        <f t="shared" si="34"/>
        <v>74.000000000000014</v>
      </c>
      <c r="M55" s="88">
        <f t="shared" si="34"/>
        <v>73.000000000000028</v>
      </c>
      <c r="N55" s="88">
        <f t="shared" si="34"/>
        <v>72.000000000000028</v>
      </c>
      <c r="O55" s="57"/>
      <c r="P55" s="13"/>
      <c r="Q55" s="13"/>
      <c r="R55" s="13"/>
      <c r="S55" s="13"/>
      <c r="T55" s="13"/>
      <c r="U55" s="13"/>
      <c r="V55" s="13"/>
    </row>
    <row r="56" spans="1:22" x14ac:dyDescent="0.25">
      <c r="A56" s="10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</row>
    <row r="57" spans="1:22" x14ac:dyDescent="0.25">
      <c r="A57" s="10" t="s">
        <v>119</v>
      </c>
      <c r="B57" s="4">
        <f t="shared" ref="B57:G57" si="35">SUM(B37:B40)+SUM(I37:I40)</f>
        <v>150</v>
      </c>
      <c r="C57" s="4">
        <f t="shared" si="35"/>
        <v>154</v>
      </c>
      <c r="D57" s="4">
        <f t="shared" si="35"/>
        <v>158</v>
      </c>
      <c r="E57" s="4">
        <f t="shared" si="35"/>
        <v>162</v>
      </c>
      <c r="F57" s="4">
        <f t="shared" si="35"/>
        <v>170</v>
      </c>
      <c r="G57" s="4">
        <f t="shared" si="35"/>
        <v>170</v>
      </c>
      <c r="H57" s="95" t="s">
        <v>120</v>
      </c>
      <c r="I57" s="94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</row>
    <row r="58" spans="1:22" x14ac:dyDescent="0.25">
      <c r="A58" s="10" t="s">
        <v>121</v>
      </c>
      <c r="B58" s="4">
        <f t="shared" ref="B58:G58" si="36">B37+$H$58*I37</f>
        <v>126</v>
      </c>
      <c r="C58" s="4">
        <f t="shared" si="36"/>
        <v>124.4</v>
      </c>
      <c r="D58" s="4">
        <f t="shared" si="36"/>
        <v>122.8</v>
      </c>
      <c r="E58" s="4">
        <f t="shared" si="36"/>
        <v>121.2</v>
      </c>
      <c r="F58" s="4">
        <f t="shared" si="36"/>
        <v>123.6</v>
      </c>
      <c r="G58" s="4">
        <f t="shared" si="36"/>
        <v>118</v>
      </c>
      <c r="H58" s="3">
        <v>0.3</v>
      </c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</row>
    <row r="59" spans="1:22" x14ac:dyDescent="0.25">
      <c r="A59" s="13"/>
      <c r="B59" s="13"/>
      <c r="C59" s="13"/>
      <c r="D59" s="13"/>
      <c r="E59" s="13"/>
      <c r="F59" s="13"/>
      <c r="G59" s="13"/>
      <c r="H59" s="29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</row>
    <row r="60" spans="1:22" x14ac:dyDescent="0.25">
      <c r="A60" s="13"/>
      <c r="B60" s="13"/>
      <c r="C60" s="13"/>
      <c r="D60" s="13"/>
      <c r="E60" s="102" t="s">
        <v>51</v>
      </c>
      <c r="F60" s="13"/>
      <c r="G60" s="8"/>
      <c r="H60" s="12" t="s">
        <v>34</v>
      </c>
      <c r="I60" s="8"/>
      <c r="J60" s="13"/>
      <c r="K60" s="13"/>
      <c r="L60" s="103" t="s">
        <v>39</v>
      </c>
      <c r="M60" s="13"/>
      <c r="N60" s="8"/>
      <c r="O60" s="12" t="s">
        <v>34</v>
      </c>
      <c r="P60" s="8"/>
      <c r="Q60" s="13"/>
      <c r="R60" s="13"/>
      <c r="S60" s="13"/>
      <c r="T60" s="13"/>
      <c r="U60" s="13"/>
      <c r="V60" s="13"/>
    </row>
    <row r="61" spans="1:22" x14ac:dyDescent="0.25">
      <c r="A61" s="20" t="s">
        <v>18</v>
      </c>
      <c r="B61" s="151">
        <f>Summary!$B$32+1</f>
        <v>2022</v>
      </c>
      <c r="C61" s="151">
        <f>B61+1</f>
        <v>2023</v>
      </c>
      <c r="D61" s="151">
        <f t="shared" ref="D61:F61" si="37">C61+1</f>
        <v>2024</v>
      </c>
      <c r="E61" s="151">
        <f t="shared" si="37"/>
        <v>2025</v>
      </c>
      <c r="F61" s="151">
        <f t="shared" si="37"/>
        <v>2026</v>
      </c>
      <c r="G61" s="151">
        <f>F61+1</f>
        <v>2027</v>
      </c>
      <c r="H61" s="35"/>
      <c r="I61" s="151">
        <f>Summary!$B$32+1</f>
        <v>2022</v>
      </c>
      <c r="J61" s="151">
        <f>I61+1</f>
        <v>2023</v>
      </c>
      <c r="K61" s="151">
        <f t="shared" ref="K61" si="38">J61+1</f>
        <v>2024</v>
      </c>
      <c r="L61" s="151">
        <f t="shared" ref="L61" si="39">K61+1</f>
        <v>2025</v>
      </c>
      <c r="M61" s="151">
        <f t="shared" ref="M61" si="40">L61+1</f>
        <v>2026</v>
      </c>
      <c r="N61" s="151">
        <f>M61+1</f>
        <v>2027</v>
      </c>
      <c r="O61" s="35"/>
      <c r="P61" s="13"/>
      <c r="Q61" s="13"/>
      <c r="R61" s="13"/>
      <c r="S61" s="13"/>
      <c r="T61" s="13"/>
      <c r="U61" s="13"/>
      <c r="V61" s="13"/>
    </row>
    <row r="62" spans="1:22" x14ac:dyDescent="0.25">
      <c r="A62" s="10" t="str">
        <f>$A$3</f>
        <v>Instruction</v>
      </c>
      <c r="B62" s="6">
        <f>C3</f>
        <v>120000</v>
      </c>
      <c r="C62" s="6">
        <f t="shared" ref="C62:G65" si="41">B62*(1+$O$3+$H$62)</f>
        <v>123600</v>
      </c>
      <c r="D62" s="6">
        <f t="shared" si="41"/>
        <v>127308</v>
      </c>
      <c r="E62" s="6">
        <f t="shared" si="41"/>
        <v>131127.24</v>
      </c>
      <c r="F62" s="6">
        <f t="shared" si="41"/>
        <v>135061.05719999998</v>
      </c>
      <c r="G62" s="6">
        <f t="shared" si="41"/>
        <v>139112.888916</v>
      </c>
      <c r="H62" s="178">
        <f>Summary!B13</f>
        <v>0.01</v>
      </c>
      <c r="I62" s="6">
        <f>J3</f>
        <v>15000</v>
      </c>
      <c r="J62" s="6">
        <f t="shared" ref="J62:N65" si="42">I62*(1+$O$3+$O$62)</f>
        <v>15450</v>
      </c>
      <c r="K62" s="6">
        <f t="shared" si="42"/>
        <v>15913.5</v>
      </c>
      <c r="L62" s="6">
        <f t="shared" si="42"/>
        <v>16390.904999999999</v>
      </c>
      <c r="M62" s="6">
        <f t="shared" si="42"/>
        <v>16882.632149999998</v>
      </c>
      <c r="N62" s="6">
        <f t="shared" si="42"/>
        <v>17389.1111145</v>
      </c>
      <c r="O62" s="178">
        <f>Summary!B15</f>
        <v>0.01</v>
      </c>
      <c r="P62" s="13"/>
      <c r="Q62" s="13"/>
      <c r="R62" s="13"/>
      <c r="S62" s="13"/>
      <c r="T62" s="13"/>
      <c r="U62" s="13"/>
      <c r="V62" s="13"/>
    </row>
    <row r="63" spans="1:22" x14ac:dyDescent="0.25">
      <c r="A63" s="10" t="str">
        <f>$A$4</f>
        <v>Research</v>
      </c>
      <c r="B63" s="6">
        <f>C4</f>
        <v>120000</v>
      </c>
      <c r="C63" s="6">
        <f t="shared" si="41"/>
        <v>123600</v>
      </c>
      <c r="D63" s="6">
        <f t="shared" si="41"/>
        <v>127308</v>
      </c>
      <c r="E63" s="6">
        <f t="shared" si="41"/>
        <v>131127.24</v>
      </c>
      <c r="F63" s="6">
        <f t="shared" si="41"/>
        <v>135061.05719999998</v>
      </c>
      <c r="G63" s="6">
        <f t="shared" si="41"/>
        <v>139112.888916</v>
      </c>
      <c r="H63" s="13"/>
      <c r="I63" s="6">
        <f>J4</f>
        <v>15000</v>
      </c>
      <c r="J63" s="6">
        <f t="shared" si="42"/>
        <v>15450</v>
      </c>
      <c r="K63" s="6">
        <f t="shared" si="42"/>
        <v>15913.5</v>
      </c>
      <c r="L63" s="6">
        <f t="shared" si="42"/>
        <v>16390.904999999999</v>
      </c>
      <c r="M63" s="6">
        <f t="shared" si="42"/>
        <v>16882.632149999998</v>
      </c>
      <c r="N63" s="6">
        <f t="shared" si="42"/>
        <v>17389.1111145</v>
      </c>
      <c r="O63" s="100"/>
      <c r="P63" s="13"/>
      <c r="Q63" s="13"/>
      <c r="R63" s="13"/>
      <c r="S63" s="13"/>
      <c r="T63" s="13"/>
      <c r="U63" s="13"/>
      <c r="V63" s="13"/>
    </row>
    <row r="64" spans="1:22" x14ac:dyDescent="0.25">
      <c r="A64" s="10" t="str">
        <f>$A$5</f>
        <v>Public service</v>
      </c>
      <c r="B64" s="6">
        <f>C5</f>
        <v>120000</v>
      </c>
      <c r="C64" s="6">
        <f t="shared" si="41"/>
        <v>123600</v>
      </c>
      <c r="D64" s="6">
        <f t="shared" si="41"/>
        <v>127308</v>
      </c>
      <c r="E64" s="6">
        <f t="shared" si="41"/>
        <v>131127.24</v>
      </c>
      <c r="F64" s="6">
        <f t="shared" si="41"/>
        <v>135061.05719999998</v>
      </c>
      <c r="G64" s="6">
        <f t="shared" si="41"/>
        <v>139112.888916</v>
      </c>
      <c r="H64" s="13"/>
      <c r="I64" s="6">
        <f>J5</f>
        <v>15000</v>
      </c>
      <c r="J64" s="6">
        <f t="shared" si="42"/>
        <v>15450</v>
      </c>
      <c r="K64" s="6">
        <f t="shared" si="42"/>
        <v>15913.5</v>
      </c>
      <c r="L64" s="6">
        <f t="shared" si="42"/>
        <v>16390.904999999999</v>
      </c>
      <c r="M64" s="6">
        <f t="shared" si="42"/>
        <v>16882.632149999998</v>
      </c>
      <c r="N64" s="6">
        <f t="shared" si="42"/>
        <v>17389.1111145</v>
      </c>
      <c r="O64" s="13"/>
      <c r="P64" s="13"/>
      <c r="Q64" s="13"/>
      <c r="R64" s="13"/>
      <c r="S64" s="13"/>
      <c r="T64" s="13"/>
      <c r="U64" s="13"/>
      <c r="V64" s="13"/>
    </row>
    <row r="65" spans="1:22" x14ac:dyDescent="0.25">
      <c r="A65" s="10" t="str">
        <f>$A$6</f>
        <v>Academic support</v>
      </c>
      <c r="B65" s="6">
        <f>C6</f>
        <v>120000</v>
      </c>
      <c r="C65" s="6">
        <f t="shared" si="41"/>
        <v>123600</v>
      </c>
      <c r="D65" s="6">
        <f t="shared" si="41"/>
        <v>127308</v>
      </c>
      <c r="E65" s="6">
        <f t="shared" si="41"/>
        <v>131127.24</v>
      </c>
      <c r="F65" s="6">
        <f t="shared" si="41"/>
        <v>135061.05719999998</v>
      </c>
      <c r="G65" s="6">
        <f t="shared" si="41"/>
        <v>139112.888916</v>
      </c>
      <c r="H65" s="13"/>
      <c r="I65" s="6">
        <f>J6</f>
        <v>15000</v>
      </c>
      <c r="J65" s="6">
        <f t="shared" si="42"/>
        <v>15450</v>
      </c>
      <c r="K65" s="6">
        <f t="shared" si="42"/>
        <v>15913.5</v>
      </c>
      <c r="L65" s="6">
        <f t="shared" si="42"/>
        <v>16390.904999999999</v>
      </c>
      <c r="M65" s="6">
        <f t="shared" si="42"/>
        <v>16882.632149999998</v>
      </c>
      <c r="N65" s="6">
        <f t="shared" si="42"/>
        <v>17389.1111145</v>
      </c>
      <c r="O65" s="13"/>
      <c r="P65" s="13"/>
      <c r="Q65" s="13"/>
      <c r="R65" s="13"/>
      <c r="S65" s="13"/>
      <c r="T65" s="13"/>
      <c r="U65" s="13"/>
      <c r="V65" s="13"/>
    </row>
    <row r="66" spans="1:22" x14ac:dyDescent="0.25">
      <c r="A66" s="13"/>
      <c r="B66" s="13"/>
      <c r="C66" s="13"/>
      <c r="D66" s="13"/>
      <c r="E66" s="13"/>
      <c r="F66" s="13"/>
      <c r="G66" s="8"/>
      <c r="H66" s="12" t="s">
        <v>34</v>
      </c>
      <c r="I66" s="8"/>
      <c r="J66" s="13"/>
      <c r="K66" s="13"/>
      <c r="L66" s="13"/>
      <c r="M66" s="13"/>
      <c r="N66" s="8"/>
      <c r="O66" s="12" t="s">
        <v>34</v>
      </c>
      <c r="P66" s="8"/>
      <c r="Q66" s="13"/>
      <c r="R66" s="13"/>
      <c r="S66" s="13"/>
      <c r="T66" s="13"/>
      <c r="U66" s="13"/>
      <c r="V66" s="13"/>
    </row>
    <row r="67" spans="1:22" x14ac:dyDescent="0.25">
      <c r="A67" s="20" t="s">
        <v>19</v>
      </c>
      <c r="B67" s="151">
        <f>Summary!$B$32+1</f>
        <v>2022</v>
      </c>
      <c r="C67" s="151">
        <f>B67+1</f>
        <v>2023</v>
      </c>
      <c r="D67" s="151">
        <f t="shared" ref="D67:F67" si="43">C67+1</f>
        <v>2024</v>
      </c>
      <c r="E67" s="151">
        <f t="shared" si="43"/>
        <v>2025</v>
      </c>
      <c r="F67" s="151">
        <f t="shared" si="43"/>
        <v>2026</v>
      </c>
      <c r="G67" s="151">
        <f>F67+1</f>
        <v>2027</v>
      </c>
      <c r="H67" s="76"/>
      <c r="I67" s="151">
        <f>Summary!$B$32+1</f>
        <v>2022</v>
      </c>
      <c r="J67" s="151">
        <f>I67+1</f>
        <v>2023</v>
      </c>
      <c r="K67" s="151">
        <f t="shared" ref="K67" si="44">J67+1</f>
        <v>2024</v>
      </c>
      <c r="L67" s="151">
        <f t="shared" ref="L67" si="45">K67+1</f>
        <v>2025</v>
      </c>
      <c r="M67" s="151">
        <f t="shared" ref="M67" si="46">L67+1</f>
        <v>2026</v>
      </c>
      <c r="N67" s="151">
        <f>M67+1</f>
        <v>2027</v>
      </c>
      <c r="O67" s="76"/>
      <c r="P67" s="13"/>
      <c r="Q67" s="13"/>
      <c r="R67" s="13"/>
      <c r="S67" s="13"/>
      <c r="T67" s="13"/>
      <c r="U67" s="13"/>
      <c r="V67" s="13"/>
    </row>
    <row r="68" spans="1:22" x14ac:dyDescent="0.25">
      <c r="A68" s="10" t="str">
        <f>$A$3</f>
        <v>Instruction</v>
      </c>
      <c r="B68" s="6">
        <f t="shared" ref="B68:B78" si="47">F3</f>
        <v>60000</v>
      </c>
      <c r="C68" s="6">
        <f t="shared" ref="C68:G78" si="48">B68*(1+$H$68+$O$3)</f>
        <v>61200</v>
      </c>
      <c r="D68" s="6">
        <f t="shared" si="48"/>
        <v>62424</v>
      </c>
      <c r="E68" s="6">
        <f t="shared" si="48"/>
        <v>63672.480000000003</v>
      </c>
      <c r="F68" s="6">
        <f t="shared" si="48"/>
        <v>64945.929600000003</v>
      </c>
      <c r="G68" s="6">
        <f t="shared" si="48"/>
        <v>66244.848192000005</v>
      </c>
      <c r="H68" s="178">
        <f>Summary!B14</f>
        <v>0</v>
      </c>
      <c r="I68" s="6">
        <f t="shared" ref="I68:I78" si="49">M3</f>
        <v>18000</v>
      </c>
      <c r="J68" s="6">
        <f t="shared" ref="J68:N78" si="50">I68*(1+$O$68+$O$3)</f>
        <v>18540</v>
      </c>
      <c r="K68" s="6">
        <f t="shared" si="50"/>
        <v>19096.2</v>
      </c>
      <c r="L68" s="6">
        <f t="shared" si="50"/>
        <v>19669.086000000003</v>
      </c>
      <c r="M68" s="6">
        <f t="shared" si="50"/>
        <v>20259.158580000003</v>
      </c>
      <c r="N68" s="6">
        <f t="shared" si="50"/>
        <v>20866.933337400005</v>
      </c>
      <c r="O68" s="178">
        <f>Summary!B16</f>
        <v>0.01</v>
      </c>
      <c r="P68" s="13"/>
      <c r="Q68" s="13"/>
      <c r="R68" s="13"/>
      <c r="S68" s="13"/>
      <c r="T68" s="13"/>
      <c r="U68" s="13"/>
      <c r="V68" s="13"/>
    </row>
    <row r="69" spans="1:22" x14ac:dyDescent="0.25">
      <c r="A69" s="10" t="str">
        <f>$A$4</f>
        <v>Research</v>
      </c>
      <c r="B69" s="6">
        <f t="shared" si="47"/>
        <v>100000</v>
      </c>
      <c r="C69" s="6">
        <f t="shared" si="48"/>
        <v>102000</v>
      </c>
      <c r="D69" s="6">
        <f t="shared" si="48"/>
        <v>104040</v>
      </c>
      <c r="E69" s="6">
        <f t="shared" si="48"/>
        <v>106120.8</v>
      </c>
      <c r="F69" s="6">
        <f t="shared" si="48"/>
        <v>108243.216</v>
      </c>
      <c r="G69" s="6">
        <f t="shared" si="48"/>
        <v>110408.08032000001</v>
      </c>
      <c r="H69" s="13"/>
      <c r="I69" s="6">
        <f t="shared" si="49"/>
        <v>18000</v>
      </c>
      <c r="J69" s="6">
        <f t="shared" si="50"/>
        <v>18540</v>
      </c>
      <c r="K69" s="6">
        <f t="shared" si="50"/>
        <v>19096.2</v>
      </c>
      <c r="L69" s="6">
        <f t="shared" si="50"/>
        <v>19669.086000000003</v>
      </c>
      <c r="M69" s="6">
        <f t="shared" si="50"/>
        <v>20259.158580000003</v>
      </c>
      <c r="N69" s="6">
        <f t="shared" si="50"/>
        <v>20866.933337400005</v>
      </c>
      <c r="O69" s="13"/>
      <c r="P69" s="13"/>
      <c r="Q69" s="13"/>
      <c r="R69" s="13"/>
      <c r="S69" s="13"/>
      <c r="T69" s="13"/>
      <c r="U69" s="13"/>
      <c r="V69" s="13"/>
    </row>
    <row r="70" spans="1:22" x14ac:dyDescent="0.25">
      <c r="A70" s="10" t="str">
        <f>$A$5</f>
        <v>Public service</v>
      </c>
      <c r="B70" s="6">
        <f t="shared" si="47"/>
        <v>60000</v>
      </c>
      <c r="C70" s="6">
        <f t="shared" si="48"/>
        <v>61200</v>
      </c>
      <c r="D70" s="6">
        <f t="shared" si="48"/>
        <v>62424</v>
      </c>
      <c r="E70" s="6">
        <f t="shared" si="48"/>
        <v>63672.480000000003</v>
      </c>
      <c r="F70" s="6">
        <f t="shared" si="48"/>
        <v>64945.929600000003</v>
      </c>
      <c r="G70" s="6">
        <f t="shared" si="48"/>
        <v>66244.848192000005</v>
      </c>
      <c r="H70" s="13"/>
      <c r="I70" s="6">
        <f t="shared" si="49"/>
        <v>18000</v>
      </c>
      <c r="J70" s="6">
        <f t="shared" si="50"/>
        <v>18540</v>
      </c>
      <c r="K70" s="6">
        <f t="shared" si="50"/>
        <v>19096.2</v>
      </c>
      <c r="L70" s="6">
        <f t="shared" si="50"/>
        <v>19669.086000000003</v>
      </c>
      <c r="M70" s="6">
        <f t="shared" si="50"/>
        <v>20259.158580000003</v>
      </c>
      <c r="N70" s="6">
        <f t="shared" si="50"/>
        <v>20866.933337400005</v>
      </c>
      <c r="O70" s="13"/>
      <c r="P70" s="13"/>
      <c r="Q70" s="13"/>
      <c r="R70" s="13"/>
      <c r="S70" s="13"/>
      <c r="T70" s="13"/>
      <c r="U70" s="13"/>
      <c r="V70" s="13"/>
    </row>
    <row r="71" spans="1:22" x14ac:dyDescent="0.25">
      <c r="A71" s="10" t="str">
        <f>$A$6</f>
        <v>Academic support</v>
      </c>
      <c r="B71" s="6">
        <f t="shared" si="47"/>
        <v>100000</v>
      </c>
      <c r="C71" s="6">
        <f t="shared" si="48"/>
        <v>102000</v>
      </c>
      <c r="D71" s="6">
        <f t="shared" si="48"/>
        <v>104040</v>
      </c>
      <c r="E71" s="6">
        <f t="shared" si="48"/>
        <v>106120.8</v>
      </c>
      <c r="F71" s="6">
        <f t="shared" si="48"/>
        <v>108243.216</v>
      </c>
      <c r="G71" s="6">
        <f t="shared" si="48"/>
        <v>110408.08032000001</v>
      </c>
      <c r="H71" s="13"/>
      <c r="I71" s="6">
        <f t="shared" si="49"/>
        <v>18000</v>
      </c>
      <c r="J71" s="6">
        <f t="shared" si="50"/>
        <v>18540</v>
      </c>
      <c r="K71" s="6">
        <f t="shared" si="50"/>
        <v>19096.2</v>
      </c>
      <c r="L71" s="6">
        <f t="shared" si="50"/>
        <v>19669.086000000003</v>
      </c>
      <c r="M71" s="6">
        <f t="shared" si="50"/>
        <v>20259.158580000003</v>
      </c>
      <c r="N71" s="6">
        <f t="shared" si="50"/>
        <v>20866.933337400005</v>
      </c>
      <c r="O71" s="13"/>
      <c r="P71" s="13"/>
      <c r="Q71" s="13"/>
      <c r="R71" s="13"/>
      <c r="S71" s="13"/>
      <c r="T71" s="13"/>
      <c r="U71" s="13"/>
      <c r="V71" s="13"/>
    </row>
    <row r="72" spans="1:22" x14ac:dyDescent="0.25">
      <c r="A72" s="10" t="str">
        <f>$A$7</f>
        <v>Student services</v>
      </c>
      <c r="B72" s="6">
        <f t="shared" si="47"/>
        <v>70000</v>
      </c>
      <c r="C72" s="6">
        <f t="shared" si="48"/>
        <v>71400</v>
      </c>
      <c r="D72" s="6">
        <f t="shared" si="48"/>
        <v>72828</v>
      </c>
      <c r="E72" s="6">
        <f t="shared" si="48"/>
        <v>74284.56</v>
      </c>
      <c r="F72" s="6">
        <f t="shared" si="48"/>
        <v>75770.251199999999</v>
      </c>
      <c r="G72" s="6">
        <f t="shared" si="48"/>
        <v>77285.656224000006</v>
      </c>
      <c r="H72" s="13"/>
      <c r="I72" s="6">
        <f t="shared" si="49"/>
        <v>18000</v>
      </c>
      <c r="J72" s="6">
        <f t="shared" si="50"/>
        <v>18540</v>
      </c>
      <c r="K72" s="6">
        <f t="shared" si="50"/>
        <v>19096.2</v>
      </c>
      <c r="L72" s="6">
        <f t="shared" si="50"/>
        <v>19669.086000000003</v>
      </c>
      <c r="M72" s="6">
        <f t="shared" si="50"/>
        <v>20259.158580000003</v>
      </c>
      <c r="N72" s="6">
        <f t="shared" si="50"/>
        <v>20866.933337400005</v>
      </c>
      <c r="O72" s="13"/>
      <c r="P72" s="13"/>
      <c r="Q72" s="13"/>
      <c r="R72" s="13"/>
      <c r="S72" s="13"/>
      <c r="T72" s="13"/>
      <c r="U72" s="13"/>
      <c r="V72" s="13"/>
    </row>
    <row r="73" spans="1:22" x14ac:dyDescent="0.25">
      <c r="A73" s="10" t="str">
        <f>$A$8</f>
        <v>Institutional support</v>
      </c>
      <c r="B73" s="6">
        <f t="shared" si="47"/>
        <v>130000</v>
      </c>
      <c r="C73" s="6">
        <f t="shared" si="48"/>
        <v>132600</v>
      </c>
      <c r="D73" s="6">
        <f t="shared" si="48"/>
        <v>135252</v>
      </c>
      <c r="E73" s="6">
        <f t="shared" si="48"/>
        <v>137957.04</v>
      </c>
      <c r="F73" s="6">
        <f t="shared" si="48"/>
        <v>140716.1808</v>
      </c>
      <c r="G73" s="6">
        <f t="shared" si="48"/>
        <v>143530.50441600001</v>
      </c>
      <c r="H73" s="13"/>
      <c r="I73" s="6">
        <f t="shared" si="49"/>
        <v>18000</v>
      </c>
      <c r="J73" s="6">
        <f t="shared" si="50"/>
        <v>18540</v>
      </c>
      <c r="K73" s="6">
        <f t="shared" si="50"/>
        <v>19096.2</v>
      </c>
      <c r="L73" s="6">
        <f t="shared" si="50"/>
        <v>19669.086000000003</v>
      </c>
      <c r="M73" s="6">
        <f t="shared" si="50"/>
        <v>20259.158580000003</v>
      </c>
      <c r="N73" s="6">
        <f t="shared" si="50"/>
        <v>20866.933337400005</v>
      </c>
      <c r="O73" s="13"/>
      <c r="P73" s="13"/>
      <c r="Q73" s="13"/>
      <c r="R73" s="13"/>
      <c r="S73" s="13"/>
      <c r="T73" s="13"/>
      <c r="U73" s="13"/>
      <c r="V73" s="13"/>
    </row>
    <row r="74" spans="1:22" x14ac:dyDescent="0.25">
      <c r="A74" s="10" t="str">
        <f>$A$9</f>
        <v>Auxiliary enterprises</v>
      </c>
      <c r="B74" s="6">
        <f t="shared" si="47"/>
        <v>60000</v>
      </c>
      <c r="C74" s="6">
        <f t="shared" si="48"/>
        <v>61200</v>
      </c>
      <c r="D74" s="6">
        <f t="shared" si="48"/>
        <v>62424</v>
      </c>
      <c r="E74" s="6">
        <f t="shared" si="48"/>
        <v>63672.480000000003</v>
      </c>
      <c r="F74" s="6">
        <f t="shared" si="48"/>
        <v>64945.929600000003</v>
      </c>
      <c r="G74" s="6">
        <f t="shared" si="48"/>
        <v>66244.848192000005</v>
      </c>
      <c r="H74" s="13"/>
      <c r="I74" s="6">
        <f t="shared" si="49"/>
        <v>18000</v>
      </c>
      <c r="J74" s="6">
        <f t="shared" si="50"/>
        <v>18540</v>
      </c>
      <c r="K74" s="6">
        <f t="shared" si="50"/>
        <v>19096.2</v>
      </c>
      <c r="L74" s="6">
        <f t="shared" si="50"/>
        <v>19669.086000000003</v>
      </c>
      <c r="M74" s="6">
        <f t="shared" si="50"/>
        <v>20259.158580000003</v>
      </c>
      <c r="N74" s="6">
        <f t="shared" si="50"/>
        <v>20866.933337400005</v>
      </c>
      <c r="O74" s="13"/>
      <c r="P74" s="13"/>
      <c r="Q74" s="13"/>
      <c r="R74" s="13"/>
      <c r="S74" s="13"/>
      <c r="T74" s="13"/>
      <c r="U74" s="13"/>
      <c r="V74" s="13"/>
    </row>
    <row r="75" spans="1:22" x14ac:dyDescent="0.25">
      <c r="A75" s="10" t="str">
        <f>$A$10</f>
        <v>Hospital services</v>
      </c>
      <c r="B75" s="6">
        <f t="shared" si="47"/>
        <v>0</v>
      </c>
      <c r="C75" s="6">
        <f t="shared" si="48"/>
        <v>0</v>
      </c>
      <c r="D75" s="6">
        <f t="shared" si="48"/>
        <v>0</v>
      </c>
      <c r="E75" s="6">
        <f t="shared" si="48"/>
        <v>0</v>
      </c>
      <c r="F75" s="6">
        <f t="shared" si="48"/>
        <v>0</v>
      </c>
      <c r="G75" s="6">
        <f t="shared" si="48"/>
        <v>0</v>
      </c>
      <c r="H75" s="13"/>
      <c r="I75" s="6">
        <f t="shared" si="49"/>
        <v>0</v>
      </c>
      <c r="J75" s="6">
        <f t="shared" si="50"/>
        <v>0</v>
      </c>
      <c r="K75" s="6">
        <f t="shared" si="50"/>
        <v>0</v>
      </c>
      <c r="L75" s="6">
        <f t="shared" si="50"/>
        <v>0</v>
      </c>
      <c r="M75" s="6">
        <f t="shared" si="50"/>
        <v>0</v>
      </c>
      <c r="N75" s="6">
        <f t="shared" si="50"/>
        <v>0</v>
      </c>
      <c r="O75" s="13"/>
      <c r="P75" s="13"/>
      <c r="Q75" s="13"/>
      <c r="R75" s="13"/>
      <c r="S75" s="13"/>
      <c r="T75" s="13"/>
      <c r="U75" s="13"/>
      <c r="V75" s="13"/>
    </row>
    <row r="76" spans="1:22" x14ac:dyDescent="0.25">
      <c r="A76" s="10" t="str">
        <f>$A$11</f>
        <v>Independent operatons</v>
      </c>
      <c r="B76" s="6">
        <f t="shared" si="47"/>
        <v>0</v>
      </c>
      <c r="C76" s="6">
        <f t="shared" si="48"/>
        <v>0</v>
      </c>
      <c r="D76" s="6">
        <f t="shared" si="48"/>
        <v>0</v>
      </c>
      <c r="E76" s="6">
        <f t="shared" si="48"/>
        <v>0</v>
      </c>
      <c r="F76" s="6">
        <f t="shared" si="48"/>
        <v>0</v>
      </c>
      <c r="G76" s="6">
        <f t="shared" si="48"/>
        <v>0</v>
      </c>
      <c r="H76" s="13"/>
      <c r="I76" s="6">
        <f t="shared" si="49"/>
        <v>0</v>
      </c>
      <c r="J76" s="6">
        <f t="shared" si="50"/>
        <v>0</v>
      </c>
      <c r="K76" s="6">
        <f t="shared" si="50"/>
        <v>0</v>
      </c>
      <c r="L76" s="6">
        <f t="shared" si="50"/>
        <v>0</v>
      </c>
      <c r="M76" s="6">
        <f t="shared" si="50"/>
        <v>0</v>
      </c>
      <c r="N76" s="6">
        <f t="shared" si="50"/>
        <v>0</v>
      </c>
      <c r="O76" s="13"/>
      <c r="P76" s="13"/>
      <c r="Q76" s="13"/>
      <c r="R76" s="13"/>
      <c r="S76" s="13"/>
      <c r="T76" s="13"/>
      <c r="U76" s="13"/>
      <c r="V76" s="13"/>
    </row>
    <row r="77" spans="1:22" x14ac:dyDescent="0.25">
      <c r="A77" s="10" t="str">
        <f>$A$12</f>
        <v>Other functional expenses and deductions</v>
      </c>
      <c r="B77" s="6">
        <f t="shared" si="47"/>
        <v>0</v>
      </c>
      <c r="C77" s="6">
        <f t="shared" si="48"/>
        <v>0</v>
      </c>
      <c r="D77" s="6">
        <f t="shared" si="48"/>
        <v>0</v>
      </c>
      <c r="E77" s="6">
        <f t="shared" si="48"/>
        <v>0</v>
      </c>
      <c r="F77" s="6">
        <f t="shared" si="48"/>
        <v>0</v>
      </c>
      <c r="G77" s="6">
        <f t="shared" si="48"/>
        <v>0</v>
      </c>
      <c r="H77" s="13"/>
      <c r="I77" s="6">
        <f t="shared" si="49"/>
        <v>0</v>
      </c>
      <c r="J77" s="6">
        <f t="shared" si="50"/>
        <v>0</v>
      </c>
      <c r="K77" s="6">
        <f t="shared" si="50"/>
        <v>0</v>
      </c>
      <c r="L77" s="6">
        <f t="shared" si="50"/>
        <v>0</v>
      </c>
      <c r="M77" s="6">
        <f t="shared" si="50"/>
        <v>0</v>
      </c>
      <c r="N77" s="6">
        <f t="shared" si="50"/>
        <v>0</v>
      </c>
      <c r="O77" s="13"/>
      <c r="P77" s="13"/>
      <c r="Q77" s="13"/>
      <c r="R77" s="13"/>
      <c r="S77" s="13"/>
      <c r="T77" s="13"/>
      <c r="U77" s="13"/>
      <c r="V77" s="13"/>
    </row>
    <row r="78" spans="1:22" x14ac:dyDescent="0.25">
      <c r="A78" s="10" t="str">
        <f>$A$13</f>
        <v>Plant Operations</v>
      </c>
      <c r="B78" s="6">
        <f t="shared" si="47"/>
        <v>60000</v>
      </c>
      <c r="C78" s="6">
        <f t="shared" si="48"/>
        <v>61200</v>
      </c>
      <c r="D78" s="6">
        <f t="shared" si="48"/>
        <v>62424</v>
      </c>
      <c r="E78" s="6">
        <f t="shared" si="48"/>
        <v>63672.480000000003</v>
      </c>
      <c r="F78" s="6">
        <f t="shared" si="48"/>
        <v>64945.929600000003</v>
      </c>
      <c r="G78" s="6">
        <f t="shared" si="48"/>
        <v>66244.848192000005</v>
      </c>
      <c r="H78" s="13"/>
      <c r="I78" s="6">
        <f t="shared" si="49"/>
        <v>18000</v>
      </c>
      <c r="J78" s="6">
        <f t="shared" si="50"/>
        <v>18540</v>
      </c>
      <c r="K78" s="6">
        <f t="shared" si="50"/>
        <v>19096.2</v>
      </c>
      <c r="L78" s="6">
        <f t="shared" si="50"/>
        <v>19669.086000000003</v>
      </c>
      <c r="M78" s="6">
        <f t="shared" si="50"/>
        <v>20259.158580000003</v>
      </c>
      <c r="N78" s="6">
        <f t="shared" si="50"/>
        <v>20866.933337400005</v>
      </c>
      <c r="O78" s="13"/>
      <c r="P78" s="13"/>
      <c r="Q78" s="13"/>
      <c r="R78" s="13"/>
      <c r="S78" s="13"/>
      <c r="T78" s="13"/>
      <c r="U78" s="13"/>
      <c r="V78" s="13"/>
    </row>
    <row r="79" spans="1:22" x14ac:dyDescent="0.25">
      <c r="A79" s="16"/>
      <c r="B79" s="16"/>
      <c r="C79" s="16"/>
      <c r="D79" s="16"/>
      <c r="E79" s="16"/>
      <c r="F79" s="16"/>
      <c r="G79" s="16"/>
      <c r="H79" s="13"/>
      <c r="I79" s="16"/>
      <c r="J79" s="16"/>
      <c r="K79" s="16"/>
      <c r="L79" s="16"/>
      <c r="M79" s="16"/>
      <c r="N79" s="16"/>
      <c r="O79" s="13"/>
      <c r="P79" s="13"/>
      <c r="Q79" s="13"/>
      <c r="R79" s="13"/>
      <c r="S79" s="13"/>
      <c r="T79" s="13"/>
      <c r="U79" s="13"/>
      <c r="V79" s="13"/>
    </row>
    <row r="80" spans="1:22" x14ac:dyDescent="0.25">
      <c r="A80" s="13"/>
      <c r="B80" s="13"/>
      <c r="C80" s="13"/>
      <c r="D80" s="13"/>
      <c r="E80" s="102" t="s">
        <v>51</v>
      </c>
      <c r="F80" s="13"/>
      <c r="G80" s="13"/>
      <c r="H80" s="13"/>
      <c r="I80" s="13"/>
      <c r="J80" s="13"/>
      <c r="K80" s="13"/>
      <c r="L80" s="103" t="s">
        <v>39</v>
      </c>
      <c r="M80" s="13"/>
      <c r="N80" s="13"/>
      <c r="O80" s="13"/>
      <c r="P80" s="13"/>
      <c r="Q80" s="13"/>
      <c r="R80" s="13"/>
      <c r="S80" s="13"/>
      <c r="T80" s="13"/>
      <c r="U80" s="13"/>
      <c r="V80" s="13"/>
    </row>
    <row r="81" spans="1:22" x14ac:dyDescent="0.25">
      <c r="A81" s="20" t="s">
        <v>61</v>
      </c>
      <c r="B81" s="151">
        <f>Summary!$B$32+1</f>
        <v>2022</v>
      </c>
      <c r="C81" s="151">
        <f>B81+1</f>
        <v>2023</v>
      </c>
      <c r="D81" s="151">
        <f t="shared" ref="D81:F81" si="51">C81+1</f>
        <v>2024</v>
      </c>
      <c r="E81" s="151">
        <f t="shared" si="51"/>
        <v>2025</v>
      </c>
      <c r="F81" s="151">
        <f t="shared" si="51"/>
        <v>2026</v>
      </c>
      <c r="G81" s="151">
        <f>F81+1</f>
        <v>2027</v>
      </c>
      <c r="H81" s="13"/>
      <c r="I81" s="151">
        <f>Summary!$B$32+1</f>
        <v>2022</v>
      </c>
      <c r="J81" s="151">
        <f>I81+1</f>
        <v>2023</v>
      </c>
      <c r="K81" s="151">
        <f t="shared" ref="K81" si="52">J81+1</f>
        <v>2024</v>
      </c>
      <c r="L81" s="151">
        <f t="shared" ref="L81" si="53">K81+1</f>
        <v>2025</v>
      </c>
      <c r="M81" s="151">
        <f t="shared" ref="M81" si="54">L81+1</f>
        <v>2026</v>
      </c>
      <c r="N81" s="151">
        <f>M81+1</f>
        <v>2027</v>
      </c>
      <c r="O81" s="13"/>
      <c r="P81" s="13"/>
      <c r="Q81" s="13"/>
      <c r="R81" s="13"/>
      <c r="S81" s="13"/>
      <c r="T81" s="13"/>
      <c r="U81" s="13"/>
      <c r="V81" s="13"/>
    </row>
    <row r="82" spans="1:22" x14ac:dyDescent="0.25">
      <c r="A82" s="10" t="str">
        <f>$A$3</f>
        <v>Instruction</v>
      </c>
      <c r="B82" s="6">
        <f t="shared" ref="B82:G85" si="55">B37*B62+B44*B68</f>
        <v>15600000</v>
      </c>
      <c r="C82" s="6">
        <f t="shared" si="55"/>
        <v>15539345.454545455</v>
      </c>
      <c r="D82" s="6">
        <f t="shared" si="55"/>
        <v>15461576.727272727</v>
      </c>
      <c r="E82" s="6">
        <f t="shared" si="55"/>
        <v>15366159.403636362</v>
      </c>
      <c r="F82" s="6">
        <f t="shared" si="55"/>
        <v>15791920.655563634</v>
      </c>
      <c r="G82" s="6">
        <f t="shared" si="55"/>
        <v>15117078.956670545</v>
      </c>
      <c r="H82" s="13"/>
      <c r="I82" s="6">
        <f t="shared" ref="I82:N85" si="56">I37*I62+I44*I68</f>
        <v>390000</v>
      </c>
      <c r="J82" s="6">
        <f t="shared" si="56"/>
        <v>524064</v>
      </c>
      <c r="K82" s="6">
        <f t="shared" si="56"/>
        <v>665820.84</v>
      </c>
      <c r="L82" s="6">
        <f t="shared" si="56"/>
        <v>815646.40006399993</v>
      </c>
      <c r="M82" s="6">
        <f t="shared" si="56"/>
        <v>973862.25497583987</v>
      </c>
      <c r="N82" s="6">
        <f t="shared" si="56"/>
        <v>1140836.9794223327</v>
      </c>
      <c r="O82" s="13"/>
      <c r="P82" s="13"/>
      <c r="Q82" s="13"/>
      <c r="R82" s="13"/>
      <c r="S82" s="13"/>
      <c r="T82" s="13"/>
      <c r="U82" s="13"/>
      <c r="V82" s="13"/>
    </row>
    <row r="83" spans="1:22" x14ac:dyDescent="0.25">
      <c r="A83" s="10" t="str">
        <f>$A$4</f>
        <v>Research</v>
      </c>
      <c r="B83" s="6">
        <f t="shared" si="55"/>
        <v>2000000</v>
      </c>
      <c r="C83" s="6">
        <f t="shared" si="55"/>
        <v>2002909.0909090911</v>
      </c>
      <c r="D83" s="6">
        <f t="shared" si="55"/>
        <v>2005134.5454545454</v>
      </c>
      <c r="E83" s="6">
        <f t="shared" si="55"/>
        <v>2007362.4727272729</v>
      </c>
      <c r="F83" s="6">
        <f t="shared" si="55"/>
        <v>2008877.4632727276</v>
      </c>
      <c r="G83" s="6">
        <f t="shared" si="55"/>
        <v>2009650.1084509094</v>
      </c>
      <c r="H83" s="13"/>
      <c r="I83" s="6">
        <f t="shared" si="56"/>
        <v>0</v>
      </c>
      <c r="J83" s="6">
        <f t="shared" si="56"/>
        <v>0</v>
      </c>
      <c r="K83" s="6">
        <f t="shared" si="56"/>
        <v>0</v>
      </c>
      <c r="L83" s="6">
        <f t="shared" si="56"/>
        <v>0</v>
      </c>
      <c r="M83" s="6">
        <f t="shared" si="56"/>
        <v>0</v>
      </c>
      <c r="N83" s="6">
        <f t="shared" si="56"/>
        <v>0</v>
      </c>
      <c r="O83" s="13"/>
      <c r="P83" s="13"/>
      <c r="Q83" s="13"/>
      <c r="R83" s="13"/>
      <c r="S83" s="13"/>
      <c r="T83" s="13"/>
      <c r="U83" s="13"/>
      <c r="V83" s="13"/>
    </row>
    <row r="84" spans="1:22" x14ac:dyDescent="0.25">
      <c r="A84" s="10" t="str">
        <f>$A$5</f>
        <v>Public service</v>
      </c>
      <c r="B84" s="6">
        <f t="shared" si="55"/>
        <v>1200000</v>
      </c>
      <c r="C84" s="6">
        <f t="shared" si="55"/>
        <v>1201745.4545454546</v>
      </c>
      <c r="D84" s="6">
        <f t="shared" si="55"/>
        <v>1203080.7272727273</v>
      </c>
      <c r="E84" s="6">
        <f t="shared" si="55"/>
        <v>1204417.4836363639</v>
      </c>
      <c r="F84" s="6">
        <f t="shared" si="55"/>
        <v>1205326.4779636366</v>
      </c>
      <c r="G84" s="6">
        <f t="shared" si="55"/>
        <v>1205790.0650705458</v>
      </c>
      <c r="H84" s="13"/>
      <c r="I84" s="6">
        <f t="shared" si="56"/>
        <v>0</v>
      </c>
      <c r="J84" s="6">
        <f t="shared" si="56"/>
        <v>0</v>
      </c>
      <c r="K84" s="6">
        <f t="shared" si="56"/>
        <v>0</v>
      </c>
      <c r="L84" s="6">
        <f t="shared" si="56"/>
        <v>0</v>
      </c>
      <c r="M84" s="6">
        <f t="shared" si="56"/>
        <v>0</v>
      </c>
      <c r="N84" s="6">
        <f t="shared" si="56"/>
        <v>0</v>
      </c>
      <c r="O84" s="13"/>
      <c r="P84" s="13"/>
      <c r="Q84" s="13"/>
      <c r="R84" s="13"/>
      <c r="S84" s="13"/>
      <c r="T84" s="13"/>
      <c r="U84" s="13"/>
      <c r="V84" s="13"/>
    </row>
    <row r="85" spans="1:22" x14ac:dyDescent="0.25">
      <c r="A85" s="10" t="str">
        <f>$A$6</f>
        <v>Academic support</v>
      </c>
      <c r="B85" s="6">
        <f t="shared" si="55"/>
        <v>3700000</v>
      </c>
      <c r="C85" s="6">
        <f t="shared" si="55"/>
        <v>3739636.3636363638</v>
      </c>
      <c r="D85" s="6">
        <f t="shared" si="55"/>
        <v>3779498.1818181821</v>
      </c>
      <c r="E85" s="6">
        <f t="shared" si="55"/>
        <v>3820475.4909090912</v>
      </c>
      <c r="F85" s="6">
        <f t="shared" si="55"/>
        <v>3861707.4010909093</v>
      </c>
      <c r="G85" s="6">
        <f t="shared" si="55"/>
        <v>3903191.5247236369</v>
      </c>
      <c r="H85" s="13"/>
      <c r="I85" s="6">
        <f t="shared" si="56"/>
        <v>360000</v>
      </c>
      <c r="J85" s="6">
        <f t="shared" si="56"/>
        <v>365856</v>
      </c>
      <c r="K85" s="6">
        <f t="shared" si="56"/>
        <v>371739.36000000004</v>
      </c>
      <c r="L85" s="6">
        <f t="shared" si="56"/>
        <v>377786.32025600009</v>
      </c>
      <c r="M85" s="6">
        <f t="shared" si="56"/>
        <v>383861.53270336014</v>
      </c>
      <c r="N85" s="6">
        <f t="shared" si="56"/>
        <v>389961.2502093314</v>
      </c>
      <c r="O85" s="13"/>
      <c r="P85" s="13"/>
      <c r="Q85" s="13"/>
      <c r="R85" s="13"/>
      <c r="S85" s="13"/>
      <c r="T85" s="13"/>
      <c r="U85" s="13"/>
      <c r="V85" s="13"/>
    </row>
    <row r="86" spans="1:22" x14ac:dyDescent="0.25">
      <c r="A86" s="10" t="str">
        <f>$A$7</f>
        <v>Student services</v>
      </c>
      <c r="B86" s="6">
        <f t="shared" ref="B86:G92" si="57">B48*B72</f>
        <v>2100000</v>
      </c>
      <c r="C86" s="6">
        <f t="shared" si="57"/>
        <v>2103054.5454545454</v>
      </c>
      <c r="D86" s="6">
        <f t="shared" si="57"/>
        <v>2323875.2727272725</v>
      </c>
      <c r="E86" s="6">
        <f t="shared" si="57"/>
        <v>2326457.356363636</v>
      </c>
      <c r="F86" s="6">
        <f t="shared" si="57"/>
        <v>2328213.1732363636</v>
      </c>
      <c r="G86" s="6">
        <f t="shared" si="57"/>
        <v>2329108.6398414546</v>
      </c>
      <c r="H86" s="13"/>
      <c r="I86" s="6">
        <f t="shared" ref="I86:N92" si="58">I48*I72</f>
        <v>360000</v>
      </c>
      <c r="J86" s="6">
        <f t="shared" si="58"/>
        <v>365856</v>
      </c>
      <c r="K86" s="6">
        <f t="shared" si="58"/>
        <v>371739.36000000004</v>
      </c>
      <c r="L86" s="6">
        <f t="shared" si="58"/>
        <v>377786.32025600009</v>
      </c>
      <c r="M86" s="6">
        <f t="shared" si="58"/>
        <v>383861.53270336014</v>
      </c>
      <c r="N86" s="6">
        <f t="shared" si="58"/>
        <v>389961.2502093314</v>
      </c>
      <c r="O86" s="13"/>
      <c r="P86" s="13"/>
      <c r="Q86" s="13"/>
      <c r="R86" s="13"/>
      <c r="S86" s="13"/>
      <c r="T86" s="13"/>
      <c r="U86" s="13"/>
      <c r="V86" s="13"/>
    </row>
    <row r="87" spans="1:22" x14ac:dyDescent="0.25">
      <c r="A87" s="10" t="str">
        <f>$A$8</f>
        <v>Institutional support</v>
      </c>
      <c r="B87" s="6">
        <f t="shared" si="57"/>
        <v>2600000</v>
      </c>
      <c r="C87" s="6">
        <f t="shared" si="57"/>
        <v>2603781.8181818184</v>
      </c>
      <c r="D87" s="6">
        <f t="shared" si="57"/>
        <v>2606674.9090909092</v>
      </c>
      <c r="E87" s="6">
        <f t="shared" si="57"/>
        <v>2609571.2145454548</v>
      </c>
      <c r="F87" s="6">
        <f t="shared" si="57"/>
        <v>2611540.7022545459</v>
      </c>
      <c r="G87" s="6">
        <f t="shared" si="57"/>
        <v>2612545.1409861823</v>
      </c>
      <c r="H87" s="13"/>
      <c r="I87" s="6">
        <f t="shared" si="58"/>
        <v>90000</v>
      </c>
      <c r="J87" s="6">
        <f t="shared" si="58"/>
        <v>91464</v>
      </c>
      <c r="K87" s="6">
        <f t="shared" si="58"/>
        <v>92934.840000000011</v>
      </c>
      <c r="L87" s="6">
        <f t="shared" si="58"/>
        <v>94446.580064000023</v>
      </c>
      <c r="M87" s="6">
        <f t="shared" si="58"/>
        <v>95965.383175840034</v>
      </c>
      <c r="N87" s="6">
        <f t="shared" si="58"/>
        <v>97490.312552332849</v>
      </c>
      <c r="O87" s="13"/>
      <c r="P87" s="13"/>
      <c r="Q87" s="13"/>
      <c r="R87" s="13"/>
      <c r="S87" s="13"/>
      <c r="T87" s="13"/>
      <c r="U87" s="13"/>
      <c r="V87" s="13"/>
    </row>
    <row r="88" spans="1:22" x14ac:dyDescent="0.25">
      <c r="A88" s="10" t="str">
        <f>$A$9</f>
        <v>Auxiliary enterprises</v>
      </c>
      <c r="B88" s="6">
        <f t="shared" si="57"/>
        <v>600000</v>
      </c>
      <c r="C88" s="6">
        <f t="shared" si="57"/>
        <v>600872.72727272729</v>
      </c>
      <c r="D88" s="6">
        <f t="shared" si="57"/>
        <v>601540.36363636365</v>
      </c>
      <c r="E88" s="6">
        <f t="shared" si="57"/>
        <v>602208.74181818194</v>
      </c>
      <c r="F88" s="6">
        <f t="shared" si="57"/>
        <v>602663.23898181831</v>
      </c>
      <c r="G88" s="6">
        <f t="shared" si="57"/>
        <v>602895.03253527288</v>
      </c>
      <c r="H88" s="13"/>
      <c r="I88" s="6">
        <f t="shared" si="58"/>
        <v>360000</v>
      </c>
      <c r="J88" s="6">
        <f t="shared" si="58"/>
        <v>365856</v>
      </c>
      <c r="K88" s="6">
        <f t="shared" si="58"/>
        <v>371739.36000000004</v>
      </c>
      <c r="L88" s="6">
        <f t="shared" si="58"/>
        <v>377786.32025600009</v>
      </c>
      <c r="M88" s="6">
        <f t="shared" si="58"/>
        <v>383861.53270336014</v>
      </c>
      <c r="N88" s="6">
        <f t="shared" si="58"/>
        <v>389961.2502093314</v>
      </c>
      <c r="O88" s="13"/>
      <c r="P88" s="13"/>
      <c r="Q88" s="13"/>
      <c r="R88" s="13"/>
      <c r="S88" s="13"/>
      <c r="T88" s="13"/>
      <c r="U88" s="13"/>
      <c r="V88" s="13"/>
    </row>
    <row r="89" spans="1:22" x14ac:dyDescent="0.25">
      <c r="A89" s="10" t="str">
        <f>$A$10</f>
        <v>Hospital services</v>
      </c>
      <c r="B89" s="6">
        <f t="shared" si="57"/>
        <v>0</v>
      </c>
      <c r="C89" s="6">
        <f t="shared" si="57"/>
        <v>0</v>
      </c>
      <c r="D89" s="6">
        <f t="shared" si="57"/>
        <v>0</v>
      </c>
      <c r="E89" s="6">
        <f t="shared" si="57"/>
        <v>0</v>
      </c>
      <c r="F89" s="6">
        <f t="shared" si="57"/>
        <v>0</v>
      </c>
      <c r="G89" s="6">
        <f t="shared" si="57"/>
        <v>0</v>
      </c>
      <c r="H89" s="13"/>
      <c r="I89" s="6">
        <f t="shared" si="58"/>
        <v>0</v>
      </c>
      <c r="J89" s="6">
        <f t="shared" si="58"/>
        <v>0</v>
      </c>
      <c r="K89" s="6">
        <f t="shared" si="58"/>
        <v>0</v>
      </c>
      <c r="L89" s="6">
        <f t="shared" si="58"/>
        <v>0</v>
      </c>
      <c r="M89" s="6">
        <f t="shared" si="58"/>
        <v>0</v>
      </c>
      <c r="N89" s="6">
        <f t="shared" si="58"/>
        <v>0</v>
      </c>
      <c r="O89" s="13"/>
      <c r="P89" s="13"/>
      <c r="Q89" s="13"/>
      <c r="R89" s="13"/>
      <c r="S89" s="13"/>
      <c r="T89" s="13"/>
      <c r="U89" s="13"/>
      <c r="V89" s="13"/>
    </row>
    <row r="90" spans="1:22" x14ac:dyDescent="0.25">
      <c r="A90" s="10" t="str">
        <f>$A$11</f>
        <v>Independent operatons</v>
      </c>
      <c r="B90" s="6">
        <f t="shared" si="57"/>
        <v>0</v>
      </c>
      <c r="C90" s="6">
        <f t="shared" si="57"/>
        <v>0</v>
      </c>
      <c r="D90" s="6">
        <f t="shared" si="57"/>
        <v>0</v>
      </c>
      <c r="E90" s="6">
        <f t="shared" si="57"/>
        <v>0</v>
      </c>
      <c r="F90" s="6">
        <f t="shared" si="57"/>
        <v>0</v>
      </c>
      <c r="G90" s="6">
        <f t="shared" si="57"/>
        <v>0</v>
      </c>
      <c r="H90" s="13"/>
      <c r="I90" s="6">
        <f t="shared" si="58"/>
        <v>0</v>
      </c>
      <c r="J90" s="6">
        <f t="shared" si="58"/>
        <v>0</v>
      </c>
      <c r="K90" s="6">
        <f t="shared" si="58"/>
        <v>0</v>
      </c>
      <c r="L90" s="6">
        <f t="shared" si="58"/>
        <v>0</v>
      </c>
      <c r="M90" s="6">
        <f t="shared" si="58"/>
        <v>0</v>
      </c>
      <c r="N90" s="6">
        <f t="shared" si="58"/>
        <v>0</v>
      </c>
      <c r="O90" s="13"/>
      <c r="P90" s="13"/>
      <c r="Q90" s="13"/>
      <c r="R90" s="13"/>
      <c r="S90" s="13"/>
      <c r="T90" s="13"/>
      <c r="U90" s="13"/>
      <c r="V90" s="13"/>
    </row>
    <row r="91" spans="1:22" x14ac:dyDescent="0.25">
      <c r="A91" s="10" t="str">
        <f>$A$12</f>
        <v>Other functional expenses and deductions</v>
      </c>
      <c r="B91" s="6">
        <f t="shared" si="57"/>
        <v>0</v>
      </c>
      <c r="C91" s="6">
        <f t="shared" si="57"/>
        <v>0</v>
      </c>
      <c r="D91" s="6">
        <f t="shared" si="57"/>
        <v>0</v>
      </c>
      <c r="E91" s="6">
        <f t="shared" si="57"/>
        <v>0</v>
      </c>
      <c r="F91" s="6">
        <f t="shared" si="57"/>
        <v>0</v>
      </c>
      <c r="G91" s="6">
        <f t="shared" si="57"/>
        <v>0</v>
      </c>
      <c r="H91" s="13"/>
      <c r="I91" s="6">
        <f t="shared" si="58"/>
        <v>0</v>
      </c>
      <c r="J91" s="6">
        <f t="shared" si="58"/>
        <v>0</v>
      </c>
      <c r="K91" s="6">
        <f t="shared" si="58"/>
        <v>0</v>
      </c>
      <c r="L91" s="6">
        <f t="shared" si="58"/>
        <v>0</v>
      </c>
      <c r="M91" s="6">
        <f t="shared" si="58"/>
        <v>0</v>
      </c>
      <c r="N91" s="6">
        <f t="shared" si="58"/>
        <v>0</v>
      </c>
      <c r="O91" s="13"/>
      <c r="P91" s="13"/>
      <c r="Q91" s="13"/>
      <c r="R91" s="13"/>
      <c r="S91" s="13"/>
      <c r="T91" s="13"/>
      <c r="U91" s="13"/>
      <c r="V91" s="13"/>
    </row>
    <row r="92" spans="1:22" x14ac:dyDescent="0.25">
      <c r="A92" s="10" t="str">
        <f>$A$13</f>
        <v>Plant Operations</v>
      </c>
      <c r="B92" s="6">
        <f t="shared" si="57"/>
        <v>1200000</v>
      </c>
      <c r="C92" s="6">
        <f t="shared" si="57"/>
        <v>1201745.4545454546</v>
      </c>
      <c r="D92" s="6">
        <f t="shared" si="57"/>
        <v>1203080.7272727273</v>
      </c>
      <c r="E92" s="6">
        <f t="shared" si="57"/>
        <v>1204417.4836363639</v>
      </c>
      <c r="F92" s="6">
        <f t="shared" si="57"/>
        <v>1205326.4779636366</v>
      </c>
      <c r="G92" s="6">
        <f t="shared" si="57"/>
        <v>1205790.0650705458</v>
      </c>
      <c r="H92" s="13"/>
      <c r="I92" s="6">
        <f t="shared" si="58"/>
        <v>90000</v>
      </c>
      <c r="J92" s="6">
        <f t="shared" si="58"/>
        <v>91464</v>
      </c>
      <c r="K92" s="6">
        <f t="shared" si="58"/>
        <v>131127.24000000002</v>
      </c>
      <c r="L92" s="6">
        <f t="shared" si="58"/>
        <v>133260.24310400002</v>
      </c>
      <c r="M92" s="6">
        <f t="shared" si="58"/>
        <v>135403.21187824002</v>
      </c>
      <c r="N92" s="6">
        <f t="shared" si="58"/>
        <v>137554.82456014084</v>
      </c>
      <c r="O92" s="13"/>
      <c r="P92" s="13"/>
      <c r="Q92" s="13"/>
      <c r="R92" s="13"/>
      <c r="S92" s="13"/>
      <c r="T92" s="13"/>
      <c r="U92" s="13"/>
      <c r="V92" s="13"/>
    </row>
    <row r="93" spans="1:22" x14ac:dyDescent="0.25">
      <c r="A93" s="16"/>
      <c r="B93" s="16"/>
      <c r="C93" s="16"/>
      <c r="D93" s="16"/>
      <c r="E93" s="16"/>
      <c r="F93" s="16"/>
      <c r="G93" s="16"/>
      <c r="H93" s="13"/>
      <c r="I93" s="16"/>
      <c r="J93" s="16"/>
      <c r="K93" s="16"/>
      <c r="L93" s="16"/>
      <c r="M93" s="16"/>
      <c r="N93" s="16"/>
      <c r="O93" s="13"/>
      <c r="P93" s="13"/>
      <c r="Q93" s="13"/>
      <c r="R93" s="13"/>
      <c r="S93" s="13"/>
      <c r="T93" s="13"/>
      <c r="U93" s="13"/>
      <c r="V93" s="13"/>
    </row>
    <row r="94" spans="1:22" x14ac:dyDescent="0.25">
      <c r="A94" s="13"/>
      <c r="B94" s="13"/>
      <c r="C94" s="13"/>
      <c r="D94" s="13"/>
      <c r="E94" s="102" t="s">
        <v>51</v>
      </c>
      <c r="F94" s="13"/>
      <c r="G94" s="8"/>
      <c r="H94" s="12" t="s">
        <v>31</v>
      </c>
      <c r="I94" s="8"/>
      <c r="J94" s="13"/>
      <c r="K94" s="13"/>
      <c r="L94" s="103" t="s">
        <v>39</v>
      </c>
      <c r="M94" s="13"/>
      <c r="N94" s="8"/>
      <c r="O94" s="12" t="s">
        <v>31</v>
      </c>
      <c r="P94" s="8"/>
      <c r="Q94" s="13"/>
      <c r="R94" s="13"/>
      <c r="S94" s="13"/>
      <c r="T94" s="13"/>
      <c r="U94" s="13"/>
      <c r="V94" s="13"/>
    </row>
    <row r="95" spans="1:22" x14ac:dyDescent="0.25">
      <c r="A95" s="20" t="s">
        <v>62</v>
      </c>
      <c r="B95" s="151">
        <f>Summary!$B$32+1</f>
        <v>2022</v>
      </c>
      <c r="C95" s="151">
        <f>B95+1</f>
        <v>2023</v>
      </c>
      <c r="D95" s="151">
        <f t="shared" ref="D95:G95" si="59">C95+1</f>
        <v>2024</v>
      </c>
      <c r="E95" s="151">
        <f t="shared" si="59"/>
        <v>2025</v>
      </c>
      <c r="F95" s="151">
        <f t="shared" si="59"/>
        <v>2026</v>
      </c>
      <c r="G95" s="151">
        <f t="shared" si="59"/>
        <v>2027</v>
      </c>
      <c r="H95" s="189">
        <f>Summary!B29</f>
        <v>0.02</v>
      </c>
      <c r="I95" s="151">
        <f>Summary!$B$32+1</f>
        <v>2022</v>
      </c>
      <c r="J95" s="151">
        <f>I95+1</f>
        <v>2023</v>
      </c>
      <c r="K95" s="151">
        <f t="shared" ref="K95" si="60">J95+1</f>
        <v>2024</v>
      </c>
      <c r="L95" s="151">
        <f t="shared" ref="L95" si="61">K95+1</f>
        <v>2025</v>
      </c>
      <c r="M95" s="151">
        <f t="shared" ref="M95" si="62">L95+1</f>
        <v>2026</v>
      </c>
      <c r="N95" s="151">
        <f t="shared" ref="N95" si="63">M95+1</f>
        <v>2027</v>
      </c>
      <c r="O95" s="144">
        <f>Summary!B30</f>
        <v>0</v>
      </c>
      <c r="P95" s="13"/>
      <c r="Q95" s="13"/>
      <c r="R95" s="13"/>
      <c r="S95" s="13"/>
      <c r="T95" s="13"/>
      <c r="U95" s="13"/>
      <c r="V95" s="13"/>
    </row>
    <row r="96" spans="1:22" x14ac:dyDescent="0.25">
      <c r="A96" s="190" t="s">
        <v>33</v>
      </c>
      <c r="B96" s="7"/>
      <c r="C96" s="7"/>
      <c r="D96" s="7"/>
      <c r="E96" s="7"/>
      <c r="F96" s="7"/>
      <c r="G96" s="7"/>
      <c r="H96" s="13"/>
      <c r="I96" s="7"/>
      <c r="J96" s="7"/>
      <c r="K96" s="7"/>
      <c r="L96" s="7"/>
      <c r="M96" s="7"/>
      <c r="N96" s="7"/>
      <c r="O96" s="13"/>
      <c r="P96" s="13"/>
      <c r="Q96" s="13"/>
      <c r="R96" s="13"/>
      <c r="S96" s="13"/>
      <c r="T96" s="13"/>
      <c r="U96" s="13"/>
      <c r="V96" s="13"/>
    </row>
    <row r="97" spans="1:22" x14ac:dyDescent="0.25">
      <c r="A97" s="10" t="str">
        <f>$A$3</f>
        <v>Instruction</v>
      </c>
      <c r="B97" s="17">
        <f>D3</f>
        <v>0.45</v>
      </c>
      <c r="C97" s="15">
        <f>B97*(1+$H$95)</f>
        <v>0.45900000000000002</v>
      </c>
      <c r="D97" s="15">
        <f t="shared" ref="D97:G97" si="64">C97*(1+$H$95)</f>
        <v>0.46818000000000004</v>
      </c>
      <c r="E97" s="15">
        <f t="shared" si="64"/>
        <v>0.47754360000000007</v>
      </c>
      <c r="F97" s="15">
        <f t="shared" si="64"/>
        <v>0.48709447200000006</v>
      </c>
      <c r="G97" s="15">
        <f t="shared" si="64"/>
        <v>0.49683636144000004</v>
      </c>
      <c r="H97" s="13"/>
      <c r="I97" s="17">
        <f>K3</f>
        <v>0.1</v>
      </c>
      <c r="J97" s="15">
        <f>I97*(1+$O$95)</f>
        <v>0.1</v>
      </c>
      <c r="K97" s="15">
        <f t="shared" ref="K97:N97" si="65">J97*(1+$O$95)</f>
        <v>0.1</v>
      </c>
      <c r="L97" s="15">
        <f t="shared" si="65"/>
        <v>0.1</v>
      </c>
      <c r="M97" s="15">
        <f t="shared" si="65"/>
        <v>0.1</v>
      </c>
      <c r="N97" s="15">
        <f t="shared" si="65"/>
        <v>0.1</v>
      </c>
      <c r="O97" s="13"/>
      <c r="P97" s="13"/>
      <c r="Q97" s="13"/>
      <c r="R97" s="13"/>
      <c r="S97" s="13"/>
      <c r="T97" s="13"/>
      <c r="U97" s="13"/>
      <c r="V97" s="13"/>
    </row>
    <row r="98" spans="1:22" x14ac:dyDescent="0.25">
      <c r="A98" s="10" t="str">
        <f>$A$4</f>
        <v>Research</v>
      </c>
      <c r="B98" s="17">
        <f>D4</f>
        <v>0.45</v>
      </c>
      <c r="C98" s="15">
        <f t="shared" ref="C98:C100" si="66">B98*(1+$H$95)</f>
        <v>0.45900000000000002</v>
      </c>
      <c r="D98" s="15">
        <f t="shared" ref="D98:D100" si="67">C98*(1+$H$95)</f>
        <v>0.46818000000000004</v>
      </c>
      <c r="E98" s="15">
        <f t="shared" ref="E98:E100" si="68">D98*(1+$H$95)</f>
        <v>0.47754360000000007</v>
      </c>
      <c r="F98" s="15">
        <f t="shared" ref="F98:F100" si="69">E98*(1+$H$95)</f>
        <v>0.48709447200000006</v>
      </c>
      <c r="G98" s="15">
        <f t="shared" ref="G98:G100" si="70">F98*(1+$H$95)</f>
        <v>0.49683636144000004</v>
      </c>
      <c r="H98" s="13"/>
      <c r="I98" s="17">
        <f>K4</f>
        <v>0.1</v>
      </c>
      <c r="J98" s="15">
        <f t="shared" ref="J98:J100" si="71">I98*(1+$O$95)</f>
        <v>0.1</v>
      </c>
      <c r="K98" s="15">
        <f t="shared" ref="K98:K100" si="72">J98*(1+$O$95)</f>
        <v>0.1</v>
      </c>
      <c r="L98" s="15">
        <f t="shared" ref="L98:L100" si="73">K98*(1+$O$95)</f>
        <v>0.1</v>
      </c>
      <c r="M98" s="15">
        <f t="shared" ref="M98:M100" si="74">L98*(1+$O$95)</f>
        <v>0.1</v>
      </c>
      <c r="N98" s="15">
        <f t="shared" ref="N98:N100" si="75">M98*(1+$O$95)</f>
        <v>0.1</v>
      </c>
      <c r="O98" s="13"/>
      <c r="P98" s="13"/>
      <c r="Q98" s="13"/>
      <c r="R98" s="13"/>
      <c r="S98" s="13"/>
      <c r="T98" s="13"/>
      <c r="U98" s="13"/>
      <c r="V98" s="13"/>
    </row>
    <row r="99" spans="1:22" x14ac:dyDescent="0.25">
      <c r="A99" s="10" t="str">
        <f>$A$5</f>
        <v>Public service</v>
      </c>
      <c r="B99" s="17">
        <f>D5</f>
        <v>0.45</v>
      </c>
      <c r="C99" s="15">
        <f t="shared" si="66"/>
        <v>0.45900000000000002</v>
      </c>
      <c r="D99" s="15">
        <f t="shared" si="67"/>
        <v>0.46818000000000004</v>
      </c>
      <c r="E99" s="15">
        <f t="shared" si="68"/>
        <v>0.47754360000000007</v>
      </c>
      <c r="F99" s="15">
        <f t="shared" si="69"/>
        <v>0.48709447200000006</v>
      </c>
      <c r="G99" s="15">
        <f t="shared" si="70"/>
        <v>0.49683636144000004</v>
      </c>
      <c r="H99" s="13"/>
      <c r="I99" s="17">
        <f>K5</f>
        <v>0.1</v>
      </c>
      <c r="J99" s="15">
        <f t="shared" si="71"/>
        <v>0.1</v>
      </c>
      <c r="K99" s="15">
        <f t="shared" si="72"/>
        <v>0.1</v>
      </c>
      <c r="L99" s="15">
        <f t="shared" si="73"/>
        <v>0.1</v>
      </c>
      <c r="M99" s="15">
        <f t="shared" si="74"/>
        <v>0.1</v>
      </c>
      <c r="N99" s="15">
        <f t="shared" si="75"/>
        <v>0.1</v>
      </c>
      <c r="O99" s="13"/>
      <c r="P99" s="13"/>
      <c r="Q99" s="13"/>
      <c r="R99" s="13"/>
      <c r="S99" s="13"/>
      <c r="T99" s="13"/>
      <c r="U99" s="13"/>
      <c r="V99" s="13"/>
    </row>
    <row r="100" spans="1:22" x14ac:dyDescent="0.25">
      <c r="A100" s="10" t="str">
        <f>$A$6</f>
        <v>Academic support</v>
      </c>
      <c r="B100" s="17">
        <f>D6</f>
        <v>0.45</v>
      </c>
      <c r="C100" s="15">
        <f t="shared" si="66"/>
        <v>0.45900000000000002</v>
      </c>
      <c r="D100" s="15">
        <f t="shared" si="67"/>
        <v>0.46818000000000004</v>
      </c>
      <c r="E100" s="15">
        <f t="shared" si="68"/>
        <v>0.47754360000000007</v>
      </c>
      <c r="F100" s="15">
        <f t="shared" si="69"/>
        <v>0.48709447200000006</v>
      </c>
      <c r="G100" s="15">
        <f t="shared" si="70"/>
        <v>0.49683636144000004</v>
      </c>
      <c r="H100" s="13"/>
      <c r="I100" s="17">
        <f>K6</f>
        <v>0.1</v>
      </c>
      <c r="J100" s="15">
        <f t="shared" si="71"/>
        <v>0.1</v>
      </c>
      <c r="K100" s="15">
        <f t="shared" si="72"/>
        <v>0.1</v>
      </c>
      <c r="L100" s="15">
        <f t="shared" si="73"/>
        <v>0.1</v>
      </c>
      <c r="M100" s="15">
        <f t="shared" si="74"/>
        <v>0.1</v>
      </c>
      <c r="N100" s="15">
        <f t="shared" si="75"/>
        <v>0.1</v>
      </c>
      <c r="O100" s="13"/>
      <c r="P100" s="13"/>
      <c r="Q100" s="13"/>
      <c r="R100" s="13"/>
      <c r="S100" s="13"/>
      <c r="T100" s="13"/>
      <c r="U100" s="13"/>
      <c r="V100" s="13"/>
    </row>
    <row r="101" spans="1:22" x14ac:dyDescent="0.25">
      <c r="A101" s="190" t="s">
        <v>176</v>
      </c>
      <c r="B101" s="17"/>
      <c r="C101" s="15"/>
      <c r="D101" s="15"/>
      <c r="E101" s="15"/>
      <c r="F101" s="15"/>
      <c r="G101" s="15"/>
      <c r="H101" s="13"/>
      <c r="I101" s="17"/>
      <c r="J101" s="15"/>
      <c r="K101" s="15"/>
      <c r="L101" s="15"/>
      <c r="M101" s="15"/>
      <c r="N101" s="15"/>
      <c r="O101" s="13"/>
      <c r="P101" s="13"/>
      <c r="Q101" s="13"/>
      <c r="R101" s="13"/>
      <c r="S101" s="13"/>
      <c r="T101" s="13"/>
      <c r="U101" s="13"/>
      <c r="V101" s="13"/>
    </row>
    <row r="102" spans="1:22" x14ac:dyDescent="0.25">
      <c r="A102" s="10" t="str">
        <f>$A$3</f>
        <v>Instruction</v>
      </c>
      <c r="B102" s="17">
        <f t="shared" ref="B102:B112" si="76">G3</f>
        <v>0.45</v>
      </c>
      <c r="C102" s="15">
        <f t="shared" ref="C102:C105" si="77">B102*(1+$H$95)</f>
        <v>0.45900000000000002</v>
      </c>
      <c r="D102" s="15">
        <f t="shared" ref="D102:D105" si="78">C102*(1+$H$95)</f>
        <v>0.46818000000000004</v>
      </c>
      <c r="E102" s="15">
        <f t="shared" ref="E102:E105" si="79">D102*(1+$H$95)</f>
        <v>0.47754360000000007</v>
      </c>
      <c r="F102" s="15">
        <f t="shared" ref="F102:F105" si="80">E102*(1+$H$95)</f>
        <v>0.48709447200000006</v>
      </c>
      <c r="G102" s="15">
        <f t="shared" ref="G102:G105" si="81">F102*(1+$H$95)</f>
        <v>0.49683636144000004</v>
      </c>
      <c r="H102" s="13"/>
      <c r="I102" s="17">
        <f t="shared" ref="I102:I112" si="82">N3</f>
        <v>0.1</v>
      </c>
      <c r="J102" s="15">
        <f t="shared" ref="J102:J105" si="83">I102*(1+$O$95)</f>
        <v>0.1</v>
      </c>
      <c r="K102" s="15">
        <f t="shared" ref="K102:K105" si="84">J102*(1+$O$95)</f>
        <v>0.1</v>
      </c>
      <c r="L102" s="15">
        <f t="shared" ref="L102:L105" si="85">K102*(1+$O$95)</f>
        <v>0.1</v>
      </c>
      <c r="M102" s="15">
        <f t="shared" ref="M102:M105" si="86">L102*(1+$O$95)</f>
        <v>0.1</v>
      </c>
      <c r="N102" s="15">
        <f t="shared" ref="N102:N105" si="87">M102*(1+$O$95)</f>
        <v>0.1</v>
      </c>
      <c r="O102" s="13"/>
      <c r="P102" s="13"/>
      <c r="Q102" s="13"/>
      <c r="R102" s="13"/>
      <c r="S102" s="13"/>
      <c r="T102" s="13"/>
      <c r="U102" s="13"/>
      <c r="V102" s="13"/>
    </row>
    <row r="103" spans="1:22" x14ac:dyDescent="0.25">
      <c r="A103" s="10" t="str">
        <f>$A$4</f>
        <v>Research</v>
      </c>
      <c r="B103" s="17">
        <f t="shared" si="76"/>
        <v>0.45</v>
      </c>
      <c r="C103" s="15">
        <f t="shared" si="77"/>
        <v>0.45900000000000002</v>
      </c>
      <c r="D103" s="15">
        <f t="shared" si="78"/>
        <v>0.46818000000000004</v>
      </c>
      <c r="E103" s="15">
        <f t="shared" si="79"/>
        <v>0.47754360000000007</v>
      </c>
      <c r="F103" s="15">
        <f t="shared" si="80"/>
        <v>0.48709447200000006</v>
      </c>
      <c r="G103" s="15">
        <f t="shared" si="81"/>
        <v>0.49683636144000004</v>
      </c>
      <c r="H103" s="13"/>
      <c r="I103" s="17">
        <f t="shared" si="82"/>
        <v>0.1</v>
      </c>
      <c r="J103" s="15">
        <f t="shared" si="83"/>
        <v>0.1</v>
      </c>
      <c r="K103" s="15">
        <f t="shared" si="84"/>
        <v>0.1</v>
      </c>
      <c r="L103" s="15">
        <f t="shared" si="85"/>
        <v>0.1</v>
      </c>
      <c r="M103" s="15">
        <f t="shared" si="86"/>
        <v>0.1</v>
      </c>
      <c r="N103" s="15">
        <f t="shared" si="87"/>
        <v>0.1</v>
      </c>
      <c r="O103" s="13"/>
      <c r="P103" s="13"/>
      <c r="Q103" s="13"/>
      <c r="R103" s="13"/>
      <c r="S103" s="13"/>
      <c r="T103" s="13"/>
      <c r="U103" s="13"/>
      <c r="V103" s="13"/>
    </row>
    <row r="104" spans="1:22" x14ac:dyDescent="0.25">
      <c r="A104" s="10" t="str">
        <f>$A$5</f>
        <v>Public service</v>
      </c>
      <c r="B104" s="17">
        <f t="shared" si="76"/>
        <v>0.45</v>
      </c>
      <c r="C104" s="15">
        <f t="shared" si="77"/>
        <v>0.45900000000000002</v>
      </c>
      <c r="D104" s="15">
        <f t="shared" si="78"/>
        <v>0.46818000000000004</v>
      </c>
      <c r="E104" s="15">
        <f t="shared" si="79"/>
        <v>0.47754360000000007</v>
      </c>
      <c r="F104" s="15">
        <f t="shared" si="80"/>
        <v>0.48709447200000006</v>
      </c>
      <c r="G104" s="15">
        <f t="shared" si="81"/>
        <v>0.49683636144000004</v>
      </c>
      <c r="H104" s="13"/>
      <c r="I104" s="17">
        <f t="shared" si="82"/>
        <v>0.1</v>
      </c>
      <c r="J104" s="15">
        <f t="shared" si="83"/>
        <v>0.1</v>
      </c>
      <c r="K104" s="15">
        <f t="shared" si="84"/>
        <v>0.1</v>
      </c>
      <c r="L104" s="15">
        <f t="shared" si="85"/>
        <v>0.1</v>
      </c>
      <c r="M104" s="15">
        <f t="shared" si="86"/>
        <v>0.1</v>
      </c>
      <c r="N104" s="15">
        <f t="shared" si="87"/>
        <v>0.1</v>
      </c>
      <c r="O104" s="13"/>
      <c r="P104" s="13"/>
      <c r="Q104" s="13"/>
      <c r="R104" s="13"/>
      <c r="S104" s="13"/>
      <c r="T104" s="13"/>
      <c r="U104" s="13"/>
      <c r="V104" s="13"/>
    </row>
    <row r="105" spans="1:22" x14ac:dyDescent="0.25">
      <c r="A105" s="10" t="str">
        <f>$A$6</f>
        <v>Academic support</v>
      </c>
      <c r="B105" s="17">
        <f t="shared" si="76"/>
        <v>0.45</v>
      </c>
      <c r="C105" s="15">
        <f t="shared" si="77"/>
        <v>0.45900000000000002</v>
      </c>
      <c r="D105" s="15">
        <f t="shared" si="78"/>
        <v>0.46818000000000004</v>
      </c>
      <c r="E105" s="15">
        <f t="shared" si="79"/>
        <v>0.47754360000000007</v>
      </c>
      <c r="F105" s="15">
        <f t="shared" si="80"/>
        <v>0.48709447200000006</v>
      </c>
      <c r="G105" s="15">
        <f t="shared" si="81"/>
        <v>0.49683636144000004</v>
      </c>
      <c r="H105" s="13"/>
      <c r="I105" s="17">
        <f t="shared" si="82"/>
        <v>0.1</v>
      </c>
      <c r="J105" s="15">
        <f t="shared" si="83"/>
        <v>0.1</v>
      </c>
      <c r="K105" s="15">
        <f t="shared" si="84"/>
        <v>0.1</v>
      </c>
      <c r="L105" s="15">
        <f t="shared" si="85"/>
        <v>0.1</v>
      </c>
      <c r="M105" s="15">
        <f t="shared" si="86"/>
        <v>0.1</v>
      </c>
      <c r="N105" s="15">
        <f t="shared" si="87"/>
        <v>0.1</v>
      </c>
      <c r="O105" s="13"/>
      <c r="P105" s="13"/>
      <c r="Q105" s="13"/>
      <c r="R105" s="13"/>
      <c r="S105" s="13"/>
      <c r="T105" s="13"/>
      <c r="U105" s="13"/>
      <c r="V105" s="13"/>
    </row>
    <row r="106" spans="1:22" x14ac:dyDescent="0.25">
      <c r="A106" s="10" t="str">
        <f>$A$7</f>
        <v>Student services</v>
      </c>
      <c r="B106" s="17">
        <f t="shared" si="76"/>
        <v>0.45</v>
      </c>
      <c r="C106" s="15">
        <f t="shared" ref="C106:G108" si="88">B106*(1+$H$95)</f>
        <v>0.45900000000000002</v>
      </c>
      <c r="D106" s="15">
        <f t="shared" si="88"/>
        <v>0.46818000000000004</v>
      </c>
      <c r="E106" s="15">
        <f t="shared" si="88"/>
        <v>0.47754360000000007</v>
      </c>
      <c r="F106" s="15">
        <f t="shared" si="88"/>
        <v>0.48709447200000006</v>
      </c>
      <c r="G106" s="15">
        <f t="shared" si="88"/>
        <v>0.49683636144000004</v>
      </c>
      <c r="H106" s="13"/>
      <c r="I106" s="17">
        <f t="shared" si="82"/>
        <v>0.1</v>
      </c>
      <c r="J106" s="15">
        <f t="shared" ref="J106:N106" si="89">I106*(1+$O$95)</f>
        <v>0.1</v>
      </c>
      <c r="K106" s="15">
        <f t="shared" si="89"/>
        <v>0.1</v>
      </c>
      <c r="L106" s="15">
        <f t="shared" si="89"/>
        <v>0.1</v>
      </c>
      <c r="M106" s="15">
        <f t="shared" si="89"/>
        <v>0.1</v>
      </c>
      <c r="N106" s="15">
        <f t="shared" si="89"/>
        <v>0.1</v>
      </c>
      <c r="O106" s="13"/>
      <c r="P106" s="13"/>
      <c r="Q106" s="13"/>
      <c r="R106" s="13"/>
      <c r="S106" s="13"/>
      <c r="T106" s="13"/>
      <c r="U106" s="13"/>
      <c r="V106" s="13"/>
    </row>
    <row r="107" spans="1:22" x14ac:dyDescent="0.25">
      <c r="A107" s="10" t="str">
        <f>$A$8</f>
        <v>Institutional support</v>
      </c>
      <c r="B107" s="17">
        <f t="shared" si="76"/>
        <v>0.45</v>
      </c>
      <c r="C107" s="15">
        <f t="shared" si="88"/>
        <v>0.45900000000000002</v>
      </c>
      <c r="D107" s="15">
        <f t="shared" si="88"/>
        <v>0.46818000000000004</v>
      </c>
      <c r="E107" s="15">
        <f t="shared" si="88"/>
        <v>0.47754360000000007</v>
      </c>
      <c r="F107" s="15">
        <f t="shared" si="88"/>
        <v>0.48709447200000006</v>
      </c>
      <c r="G107" s="15">
        <f t="shared" si="88"/>
        <v>0.49683636144000004</v>
      </c>
      <c r="H107" s="13"/>
      <c r="I107" s="17">
        <f t="shared" si="82"/>
        <v>0.1</v>
      </c>
      <c r="J107" s="15">
        <f t="shared" ref="J107:N112" si="90">I107*(1+$O$95)</f>
        <v>0.1</v>
      </c>
      <c r="K107" s="15">
        <f t="shared" si="90"/>
        <v>0.1</v>
      </c>
      <c r="L107" s="15">
        <f t="shared" si="90"/>
        <v>0.1</v>
      </c>
      <c r="M107" s="15">
        <f t="shared" si="90"/>
        <v>0.1</v>
      </c>
      <c r="N107" s="15">
        <f t="shared" si="90"/>
        <v>0.1</v>
      </c>
      <c r="O107" s="13"/>
      <c r="P107" s="13"/>
      <c r="Q107" s="13"/>
      <c r="R107" s="13"/>
      <c r="S107" s="13"/>
      <c r="T107" s="13"/>
      <c r="U107" s="13"/>
      <c r="V107" s="13"/>
    </row>
    <row r="108" spans="1:22" x14ac:dyDescent="0.25">
      <c r="A108" s="10" t="str">
        <f>$A$9</f>
        <v>Auxiliary enterprises</v>
      </c>
      <c r="B108" s="17">
        <f t="shared" si="76"/>
        <v>0.45</v>
      </c>
      <c r="C108" s="15">
        <f t="shared" si="88"/>
        <v>0.45900000000000002</v>
      </c>
      <c r="D108" s="15">
        <f t="shared" si="88"/>
        <v>0.46818000000000004</v>
      </c>
      <c r="E108" s="15">
        <f t="shared" si="88"/>
        <v>0.47754360000000007</v>
      </c>
      <c r="F108" s="15">
        <f t="shared" si="88"/>
        <v>0.48709447200000006</v>
      </c>
      <c r="G108" s="15">
        <f t="shared" si="88"/>
        <v>0.49683636144000004</v>
      </c>
      <c r="H108" s="13"/>
      <c r="I108" s="17">
        <f t="shared" si="82"/>
        <v>0.1</v>
      </c>
      <c r="J108" s="15">
        <f t="shared" si="90"/>
        <v>0.1</v>
      </c>
      <c r="K108" s="15">
        <f t="shared" si="90"/>
        <v>0.1</v>
      </c>
      <c r="L108" s="15">
        <f t="shared" si="90"/>
        <v>0.1</v>
      </c>
      <c r="M108" s="15">
        <f t="shared" si="90"/>
        <v>0.1</v>
      </c>
      <c r="N108" s="15">
        <f t="shared" si="90"/>
        <v>0.1</v>
      </c>
      <c r="O108" s="13"/>
      <c r="P108" s="13"/>
      <c r="Q108" s="13"/>
      <c r="R108" s="13"/>
      <c r="S108" s="13"/>
      <c r="T108" s="13"/>
      <c r="U108" s="13"/>
      <c r="V108" s="13"/>
    </row>
    <row r="109" spans="1:22" x14ac:dyDescent="0.25">
      <c r="A109" s="10" t="str">
        <f>$A$10</f>
        <v>Hospital services</v>
      </c>
      <c r="B109" s="17">
        <f t="shared" si="76"/>
        <v>0.45</v>
      </c>
      <c r="C109" s="15">
        <f t="shared" ref="C109:C112" si="91">B109*(1+$H$95)</f>
        <v>0.45900000000000002</v>
      </c>
      <c r="D109" s="15">
        <f t="shared" ref="D109:D112" si="92">C109*(1+$H$95)</f>
        <v>0.46818000000000004</v>
      </c>
      <c r="E109" s="15">
        <f t="shared" ref="E109:E112" si="93">D109*(1+$H$95)</f>
        <v>0.47754360000000007</v>
      </c>
      <c r="F109" s="15">
        <f t="shared" ref="F109:F112" si="94">E109*(1+$H$95)</f>
        <v>0.48709447200000006</v>
      </c>
      <c r="G109" s="15">
        <f t="shared" ref="G109:G112" si="95">F109*(1+$H$95)</f>
        <v>0.49683636144000004</v>
      </c>
      <c r="H109" s="13"/>
      <c r="I109" s="17">
        <f t="shared" si="82"/>
        <v>0.1</v>
      </c>
      <c r="J109" s="15">
        <f t="shared" si="90"/>
        <v>0.1</v>
      </c>
      <c r="K109" s="15">
        <f t="shared" si="90"/>
        <v>0.1</v>
      </c>
      <c r="L109" s="15">
        <f t="shared" si="90"/>
        <v>0.1</v>
      </c>
      <c r="M109" s="15">
        <f t="shared" si="90"/>
        <v>0.1</v>
      </c>
      <c r="N109" s="15">
        <f t="shared" si="90"/>
        <v>0.1</v>
      </c>
      <c r="O109" s="13"/>
      <c r="P109" s="13"/>
      <c r="Q109" s="13"/>
      <c r="R109" s="13"/>
      <c r="S109" s="13"/>
      <c r="T109" s="13"/>
      <c r="U109" s="13"/>
      <c r="V109" s="13"/>
    </row>
    <row r="110" spans="1:22" x14ac:dyDescent="0.25">
      <c r="A110" s="10" t="str">
        <f>$A$11</f>
        <v>Independent operatons</v>
      </c>
      <c r="B110" s="17">
        <f t="shared" si="76"/>
        <v>0.45</v>
      </c>
      <c r="C110" s="15">
        <f t="shared" si="91"/>
        <v>0.45900000000000002</v>
      </c>
      <c r="D110" s="15">
        <f t="shared" si="92"/>
        <v>0.46818000000000004</v>
      </c>
      <c r="E110" s="15">
        <f t="shared" si="93"/>
        <v>0.47754360000000007</v>
      </c>
      <c r="F110" s="15">
        <f t="shared" si="94"/>
        <v>0.48709447200000006</v>
      </c>
      <c r="G110" s="15">
        <f t="shared" si="95"/>
        <v>0.49683636144000004</v>
      </c>
      <c r="H110" s="13"/>
      <c r="I110" s="17">
        <f t="shared" si="82"/>
        <v>0.1</v>
      </c>
      <c r="J110" s="15">
        <f t="shared" si="90"/>
        <v>0.1</v>
      </c>
      <c r="K110" s="15">
        <f t="shared" si="90"/>
        <v>0.1</v>
      </c>
      <c r="L110" s="15">
        <f t="shared" si="90"/>
        <v>0.1</v>
      </c>
      <c r="M110" s="15">
        <f t="shared" si="90"/>
        <v>0.1</v>
      </c>
      <c r="N110" s="15">
        <f t="shared" si="90"/>
        <v>0.1</v>
      </c>
      <c r="O110" s="13"/>
      <c r="P110" s="13"/>
      <c r="Q110" s="13"/>
      <c r="R110" s="13"/>
      <c r="S110" s="13"/>
      <c r="T110" s="13"/>
      <c r="U110" s="13"/>
      <c r="V110" s="13"/>
    </row>
    <row r="111" spans="1:22" x14ac:dyDescent="0.25">
      <c r="A111" s="10" t="str">
        <f>$A$12</f>
        <v>Other functional expenses and deductions</v>
      </c>
      <c r="B111" s="17">
        <f t="shared" si="76"/>
        <v>0.45</v>
      </c>
      <c r="C111" s="15">
        <f t="shared" si="91"/>
        <v>0.45900000000000002</v>
      </c>
      <c r="D111" s="15">
        <f t="shared" si="92"/>
        <v>0.46818000000000004</v>
      </c>
      <c r="E111" s="15">
        <f t="shared" si="93"/>
        <v>0.47754360000000007</v>
      </c>
      <c r="F111" s="15">
        <f t="shared" si="94"/>
        <v>0.48709447200000006</v>
      </c>
      <c r="G111" s="15">
        <f t="shared" si="95"/>
        <v>0.49683636144000004</v>
      </c>
      <c r="H111" s="13"/>
      <c r="I111" s="17">
        <f t="shared" si="82"/>
        <v>0.1</v>
      </c>
      <c r="J111" s="15">
        <f t="shared" si="90"/>
        <v>0.1</v>
      </c>
      <c r="K111" s="15">
        <f t="shared" si="90"/>
        <v>0.1</v>
      </c>
      <c r="L111" s="15">
        <f t="shared" si="90"/>
        <v>0.1</v>
      </c>
      <c r="M111" s="15">
        <f t="shared" si="90"/>
        <v>0.1</v>
      </c>
      <c r="N111" s="15">
        <f t="shared" si="90"/>
        <v>0.1</v>
      </c>
      <c r="O111" s="13"/>
      <c r="P111" s="13"/>
      <c r="Q111" s="13"/>
      <c r="R111" s="13"/>
      <c r="S111" s="13"/>
      <c r="T111" s="13"/>
      <c r="U111" s="13"/>
      <c r="V111" s="13"/>
    </row>
    <row r="112" spans="1:22" x14ac:dyDescent="0.25">
      <c r="A112" s="10" t="str">
        <f>$A$13</f>
        <v>Plant Operations</v>
      </c>
      <c r="B112" s="17">
        <f t="shared" si="76"/>
        <v>0.45</v>
      </c>
      <c r="C112" s="15">
        <f t="shared" si="91"/>
        <v>0.45900000000000002</v>
      </c>
      <c r="D112" s="15">
        <f t="shared" si="92"/>
        <v>0.46818000000000004</v>
      </c>
      <c r="E112" s="15">
        <f t="shared" si="93"/>
        <v>0.47754360000000007</v>
      </c>
      <c r="F112" s="15">
        <f t="shared" si="94"/>
        <v>0.48709447200000006</v>
      </c>
      <c r="G112" s="15">
        <f t="shared" si="95"/>
        <v>0.49683636144000004</v>
      </c>
      <c r="H112" s="13"/>
      <c r="I112" s="17">
        <f t="shared" si="82"/>
        <v>0.1</v>
      </c>
      <c r="J112" s="15">
        <f t="shared" si="90"/>
        <v>0.1</v>
      </c>
      <c r="K112" s="15">
        <f t="shared" si="90"/>
        <v>0.1</v>
      </c>
      <c r="L112" s="15">
        <f t="shared" si="90"/>
        <v>0.1</v>
      </c>
      <c r="M112" s="15">
        <f t="shared" si="90"/>
        <v>0.1</v>
      </c>
      <c r="N112" s="15">
        <f t="shared" si="90"/>
        <v>0.1</v>
      </c>
      <c r="O112" s="13"/>
      <c r="P112" s="13"/>
      <c r="Q112" s="13"/>
      <c r="R112" s="13"/>
      <c r="S112" s="13"/>
      <c r="T112" s="13"/>
      <c r="U112" s="13"/>
      <c r="V112" s="13"/>
    </row>
    <row r="113" spans="1:22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</row>
    <row r="114" spans="1:22" x14ac:dyDescent="0.25">
      <c r="A114" s="20" t="s">
        <v>14</v>
      </c>
      <c r="B114" s="151">
        <f>Summary!$B$32+1</f>
        <v>2022</v>
      </c>
      <c r="C114" s="151">
        <f>B114+1</f>
        <v>2023</v>
      </c>
      <c r="D114" s="151">
        <f t="shared" ref="D114:F114" si="96">C114+1</f>
        <v>2024</v>
      </c>
      <c r="E114" s="151">
        <f t="shared" si="96"/>
        <v>2025</v>
      </c>
      <c r="F114" s="151">
        <f t="shared" si="96"/>
        <v>2026</v>
      </c>
      <c r="G114" s="151">
        <f>F114+1</f>
        <v>2027</v>
      </c>
      <c r="H114" s="13"/>
      <c r="I114" s="151">
        <f>Summary!$B$32+1</f>
        <v>2022</v>
      </c>
      <c r="J114" s="151">
        <f>I114+1</f>
        <v>2023</v>
      </c>
      <c r="K114" s="151">
        <f t="shared" ref="K114" si="97">J114+1</f>
        <v>2024</v>
      </c>
      <c r="L114" s="151">
        <f t="shared" ref="L114" si="98">K114+1</f>
        <v>2025</v>
      </c>
      <c r="M114" s="151">
        <f t="shared" ref="M114" si="99">L114+1</f>
        <v>2026</v>
      </c>
      <c r="N114" s="151">
        <f>M114+1</f>
        <v>2027</v>
      </c>
      <c r="O114" s="13"/>
      <c r="P114" s="13"/>
      <c r="Q114" s="13"/>
      <c r="R114" s="13"/>
      <c r="S114" s="13"/>
      <c r="T114" s="13"/>
      <c r="U114" s="13"/>
      <c r="V114" s="13"/>
    </row>
    <row r="115" spans="1:22" x14ac:dyDescent="0.25">
      <c r="A115" s="10" t="str">
        <f>$A$3</f>
        <v>Instruction</v>
      </c>
      <c r="B115" s="4">
        <f t="shared" ref="B115:G118" si="100">B97*B37*B62+B102*B44*B68</f>
        <v>7020000</v>
      </c>
      <c r="C115" s="4">
        <f t="shared" si="100"/>
        <v>7132559.5636363644</v>
      </c>
      <c r="D115" s="4">
        <f t="shared" si="100"/>
        <v>7238800.9921745453</v>
      </c>
      <c r="E115" s="4">
        <f t="shared" si="100"/>
        <v>7338011.0797863631</v>
      </c>
      <c r="F115" s="4">
        <f t="shared" si="100"/>
        <v>7692157.2535876632</v>
      </c>
      <c r="G115" s="4">
        <f t="shared" si="100"/>
        <v>7510714.5044333851</v>
      </c>
      <c r="H115" s="13"/>
      <c r="I115" s="4">
        <f t="shared" ref="I115:N118" si="101">I97*I37*I62+I102*I44*I68</f>
        <v>39000</v>
      </c>
      <c r="J115" s="4">
        <f t="shared" si="101"/>
        <v>52406.400000000009</v>
      </c>
      <c r="K115" s="4">
        <f t="shared" si="101"/>
        <v>66582.084000000003</v>
      </c>
      <c r="L115" s="4">
        <f t="shared" si="101"/>
        <v>81564.640006400004</v>
      </c>
      <c r="M115" s="4">
        <f t="shared" si="101"/>
        <v>97386.225497584004</v>
      </c>
      <c r="N115" s="4">
        <f t="shared" si="101"/>
        <v>114083.69794223328</v>
      </c>
      <c r="O115" s="13"/>
      <c r="P115" s="13"/>
      <c r="Q115" s="13"/>
      <c r="R115" s="13"/>
      <c r="S115" s="13"/>
      <c r="T115" s="13"/>
      <c r="U115" s="13"/>
      <c r="V115" s="13"/>
    </row>
    <row r="116" spans="1:22" x14ac:dyDescent="0.25">
      <c r="A116" s="10" t="str">
        <f>$A$4</f>
        <v>Research</v>
      </c>
      <c r="B116" s="4">
        <f t="shared" si="100"/>
        <v>900000</v>
      </c>
      <c r="C116" s="4">
        <f t="shared" si="100"/>
        <v>919335.27272727271</v>
      </c>
      <c r="D116" s="4">
        <f t="shared" si="100"/>
        <v>938763.89149090915</v>
      </c>
      <c r="E116" s="4">
        <f t="shared" si="100"/>
        <v>958603.10173108382</v>
      </c>
      <c r="F116" s="4">
        <f t="shared" si="100"/>
        <v>978513.10728552879</v>
      </c>
      <c r="G116" s="4">
        <f t="shared" si="100"/>
        <v>998467.24765025126</v>
      </c>
      <c r="H116" s="13"/>
      <c r="I116" s="4">
        <f t="shared" si="101"/>
        <v>0</v>
      </c>
      <c r="J116" s="4">
        <f t="shared" si="101"/>
        <v>0</v>
      </c>
      <c r="K116" s="4">
        <f t="shared" si="101"/>
        <v>0</v>
      </c>
      <c r="L116" s="4">
        <f t="shared" si="101"/>
        <v>0</v>
      </c>
      <c r="M116" s="4">
        <f t="shared" si="101"/>
        <v>0</v>
      </c>
      <c r="N116" s="4">
        <f t="shared" si="101"/>
        <v>0</v>
      </c>
      <c r="O116" s="13"/>
      <c r="P116" s="13"/>
      <c r="Q116" s="13"/>
      <c r="R116" s="13"/>
      <c r="S116" s="13"/>
      <c r="T116" s="13"/>
      <c r="U116" s="13"/>
      <c r="V116" s="13"/>
    </row>
    <row r="117" spans="1:22" x14ac:dyDescent="0.25">
      <c r="A117" s="10" t="str">
        <f>$A$5</f>
        <v>Public service</v>
      </c>
      <c r="B117" s="4">
        <f t="shared" si="100"/>
        <v>540000</v>
      </c>
      <c r="C117" s="4">
        <f t="shared" si="100"/>
        <v>551601.16363636369</v>
      </c>
      <c r="D117" s="4">
        <f t="shared" si="100"/>
        <v>563258.33489454549</v>
      </c>
      <c r="E117" s="4">
        <f t="shared" si="100"/>
        <v>575161.86103865027</v>
      </c>
      <c r="F117" s="4">
        <f t="shared" si="100"/>
        <v>587107.86437131732</v>
      </c>
      <c r="G117" s="4">
        <f t="shared" si="100"/>
        <v>599080.34859015071</v>
      </c>
      <c r="H117" s="13"/>
      <c r="I117" s="4">
        <f t="shared" si="101"/>
        <v>0</v>
      </c>
      <c r="J117" s="4">
        <f t="shared" si="101"/>
        <v>0</v>
      </c>
      <c r="K117" s="4">
        <f t="shared" si="101"/>
        <v>0</v>
      </c>
      <c r="L117" s="4">
        <f t="shared" si="101"/>
        <v>0</v>
      </c>
      <c r="M117" s="4">
        <f t="shared" si="101"/>
        <v>0</v>
      </c>
      <c r="N117" s="4">
        <f t="shared" si="101"/>
        <v>0</v>
      </c>
      <c r="O117" s="13"/>
      <c r="P117" s="13"/>
      <c r="Q117" s="13"/>
      <c r="R117" s="13"/>
      <c r="S117" s="13"/>
      <c r="T117" s="13"/>
      <c r="U117" s="13"/>
      <c r="V117" s="13"/>
    </row>
    <row r="118" spans="1:22" x14ac:dyDescent="0.25">
      <c r="A118" s="10" t="str">
        <f>$A$6</f>
        <v>Academic support</v>
      </c>
      <c r="B118" s="4">
        <f t="shared" si="100"/>
        <v>1665000</v>
      </c>
      <c r="C118" s="4">
        <f t="shared" si="100"/>
        <v>1716493.0909090911</v>
      </c>
      <c r="D118" s="4">
        <f t="shared" si="100"/>
        <v>1769485.4587636366</v>
      </c>
      <c r="E118" s="4">
        <f t="shared" si="100"/>
        <v>1824443.6196404949</v>
      </c>
      <c r="F118" s="4">
        <f t="shared" si="100"/>
        <v>1881016.327552869</v>
      </c>
      <c r="G118" s="4">
        <f t="shared" si="100"/>
        <v>1939247.4751471379</v>
      </c>
      <c r="H118" s="13"/>
      <c r="I118" s="4">
        <f t="shared" si="101"/>
        <v>36000</v>
      </c>
      <c r="J118" s="4">
        <f t="shared" si="101"/>
        <v>36585.600000000006</v>
      </c>
      <c r="K118" s="4">
        <f t="shared" si="101"/>
        <v>37173.936000000009</v>
      </c>
      <c r="L118" s="4">
        <f t="shared" si="101"/>
        <v>37778.632025600011</v>
      </c>
      <c r="M118" s="4">
        <f t="shared" si="101"/>
        <v>38386.153270336021</v>
      </c>
      <c r="N118" s="4">
        <f t="shared" si="101"/>
        <v>38996.125020933141</v>
      </c>
      <c r="O118" s="13"/>
      <c r="P118" s="13"/>
      <c r="Q118" s="13"/>
      <c r="R118" s="13"/>
      <c r="S118" s="13"/>
      <c r="T118" s="13"/>
      <c r="U118" s="13"/>
      <c r="V118" s="13"/>
    </row>
    <row r="119" spans="1:22" x14ac:dyDescent="0.25">
      <c r="A119" s="10" t="str">
        <f>$A$7</f>
        <v>Student services</v>
      </c>
      <c r="B119" s="6">
        <f t="shared" ref="B119:G125" si="102">B106*B48*B72</f>
        <v>945000</v>
      </c>
      <c r="C119" s="6">
        <f t="shared" si="102"/>
        <v>965302.03636363638</v>
      </c>
      <c r="D119" s="6">
        <f t="shared" si="102"/>
        <v>1087991.9251854545</v>
      </c>
      <c r="E119" s="6">
        <f t="shared" si="102"/>
        <v>1110984.8212043738</v>
      </c>
      <c r="F119" s="6">
        <f t="shared" si="102"/>
        <v>1134059.7663210111</v>
      </c>
      <c r="G119" s="6">
        <f t="shared" si="102"/>
        <v>1157185.862017296</v>
      </c>
      <c r="H119" s="13"/>
      <c r="I119" s="6">
        <f t="shared" ref="I119:N125" si="103">I106*I48*I72</f>
        <v>36000</v>
      </c>
      <c r="J119" s="6">
        <f t="shared" si="103"/>
        <v>36585.600000000006</v>
      </c>
      <c r="K119" s="6">
        <f t="shared" si="103"/>
        <v>37173.936000000009</v>
      </c>
      <c r="L119" s="6">
        <f t="shared" si="103"/>
        <v>37778.632025600011</v>
      </c>
      <c r="M119" s="6">
        <f t="shared" si="103"/>
        <v>38386.153270336021</v>
      </c>
      <c r="N119" s="6">
        <f t="shared" si="103"/>
        <v>38996.125020933141</v>
      </c>
      <c r="O119" s="13"/>
      <c r="P119" s="13"/>
      <c r="Q119" s="13"/>
      <c r="R119" s="13"/>
      <c r="S119" s="13"/>
      <c r="T119" s="13"/>
      <c r="U119" s="13"/>
      <c r="V119" s="13"/>
    </row>
    <row r="120" spans="1:22" x14ac:dyDescent="0.25">
      <c r="A120" s="10" t="str">
        <f>$A$8</f>
        <v>Institutional support</v>
      </c>
      <c r="B120" s="6">
        <f t="shared" si="102"/>
        <v>1170000</v>
      </c>
      <c r="C120" s="6">
        <f t="shared" si="102"/>
        <v>1195135.8545454545</v>
      </c>
      <c r="D120" s="6">
        <f t="shared" si="102"/>
        <v>1220393.058938182</v>
      </c>
      <c r="E120" s="6">
        <f t="shared" si="102"/>
        <v>1246184.032250409</v>
      </c>
      <c r="F120" s="6">
        <f t="shared" si="102"/>
        <v>1272067.0394711874</v>
      </c>
      <c r="G120" s="6">
        <f t="shared" si="102"/>
        <v>1298007.4219453267</v>
      </c>
      <c r="H120" s="13"/>
      <c r="I120" s="6">
        <f t="shared" si="103"/>
        <v>9000</v>
      </c>
      <c r="J120" s="6">
        <f t="shared" si="103"/>
        <v>9146.4000000000015</v>
      </c>
      <c r="K120" s="6">
        <f t="shared" si="103"/>
        <v>9293.4840000000022</v>
      </c>
      <c r="L120" s="6">
        <f t="shared" si="103"/>
        <v>9444.6580064000027</v>
      </c>
      <c r="M120" s="6">
        <f t="shared" si="103"/>
        <v>9596.5383175840052</v>
      </c>
      <c r="N120" s="6">
        <f t="shared" si="103"/>
        <v>9749.0312552332853</v>
      </c>
      <c r="O120" s="13"/>
      <c r="P120" s="13"/>
      <c r="Q120" s="13"/>
      <c r="R120" s="13"/>
      <c r="S120" s="13"/>
      <c r="T120" s="13"/>
      <c r="U120" s="13"/>
      <c r="V120" s="13"/>
    </row>
    <row r="121" spans="1:22" x14ac:dyDescent="0.25">
      <c r="A121" s="10" t="str">
        <f>$A$9</f>
        <v>Auxiliary enterprises</v>
      </c>
      <c r="B121" s="6">
        <f t="shared" si="102"/>
        <v>270000</v>
      </c>
      <c r="C121" s="6">
        <f t="shared" si="102"/>
        <v>275800.58181818185</v>
      </c>
      <c r="D121" s="6">
        <f t="shared" si="102"/>
        <v>281629.16744727275</v>
      </c>
      <c r="E121" s="6">
        <f t="shared" si="102"/>
        <v>287580.93051932513</v>
      </c>
      <c r="F121" s="6">
        <f t="shared" si="102"/>
        <v>293553.93218565866</v>
      </c>
      <c r="G121" s="6">
        <f t="shared" si="102"/>
        <v>299540.17429507535</v>
      </c>
      <c r="H121" s="13"/>
      <c r="I121" s="6">
        <f t="shared" si="103"/>
        <v>36000</v>
      </c>
      <c r="J121" s="6">
        <f t="shared" si="103"/>
        <v>36585.600000000006</v>
      </c>
      <c r="K121" s="6">
        <f t="shared" si="103"/>
        <v>37173.936000000009</v>
      </c>
      <c r="L121" s="6">
        <f t="shared" si="103"/>
        <v>37778.632025600011</v>
      </c>
      <c r="M121" s="6">
        <f t="shared" si="103"/>
        <v>38386.153270336021</v>
      </c>
      <c r="N121" s="6">
        <f t="shared" si="103"/>
        <v>38996.125020933141</v>
      </c>
      <c r="O121" s="13"/>
      <c r="P121" s="13"/>
      <c r="Q121" s="13"/>
      <c r="R121" s="13"/>
      <c r="S121" s="13"/>
      <c r="T121" s="13"/>
      <c r="U121" s="13"/>
      <c r="V121" s="13"/>
    </row>
    <row r="122" spans="1:22" x14ac:dyDescent="0.25">
      <c r="A122" s="10" t="str">
        <f>$A$10</f>
        <v>Hospital services</v>
      </c>
      <c r="B122" s="6">
        <f t="shared" si="102"/>
        <v>0</v>
      </c>
      <c r="C122" s="6">
        <f t="shared" si="102"/>
        <v>0</v>
      </c>
      <c r="D122" s="6">
        <f t="shared" si="102"/>
        <v>0</v>
      </c>
      <c r="E122" s="6">
        <f t="shared" si="102"/>
        <v>0</v>
      </c>
      <c r="F122" s="6">
        <f t="shared" si="102"/>
        <v>0</v>
      </c>
      <c r="G122" s="6">
        <f t="shared" si="102"/>
        <v>0</v>
      </c>
      <c r="H122" s="13"/>
      <c r="I122" s="6">
        <f t="shared" si="103"/>
        <v>0</v>
      </c>
      <c r="J122" s="6">
        <f t="shared" si="103"/>
        <v>0</v>
      </c>
      <c r="K122" s="6">
        <f t="shared" si="103"/>
        <v>0</v>
      </c>
      <c r="L122" s="6">
        <f t="shared" si="103"/>
        <v>0</v>
      </c>
      <c r="M122" s="6">
        <f t="shared" si="103"/>
        <v>0</v>
      </c>
      <c r="N122" s="6">
        <f t="shared" si="103"/>
        <v>0</v>
      </c>
      <c r="O122" s="13"/>
      <c r="P122" s="13"/>
      <c r="Q122" s="13"/>
      <c r="R122" s="13"/>
      <c r="S122" s="13"/>
      <c r="T122" s="13"/>
      <c r="U122" s="13"/>
      <c r="V122" s="13"/>
    </row>
    <row r="123" spans="1:22" x14ac:dyDescent="0.25">
      <c r="A123" s="10" t="str">
        <f>$A$11</f>
        <v>Independent operatons</v>
      </c>
      <c r="B123" s="6">
        <f t="shared" si="102"/>
        <v>0</v>
      </c>
      <c r="C123" s="6">
        <f t="shared" si="102"/>
        <v>0</v>
      </c>
      <c r="D123" s="6">
        <f t="shared" si="102"/>
        <v>0</v>
      </c>
      <c r="E123" s="6">
        <f t="shared" si="102"/>
        <v>0</v>
      </c>
      <c r="F123" s="6">
        <f t="shared" si="102"/>
        <v>0</v>
      </c>
      <c r="G123" s="6">
        <f t="shared" si="102"/>
        <v>0</v>
      </c>
      <c r="H123" s="13"/>
      <c r="I123" s="6">
        <f t="shared" si="103"/>
        <v>0</v>
      </c>
      <c r="J123" s="6">
        <f t="shared" si="103"/>
        <v>0</v>
      </c>
      <c r="K123" s="6">
        <f t="shared" si="103"/>
        <v>0</v>
      </c>
      <c r="L123" s="6">
        <f t="shared" si="103"/>
        <v>0</v>
      </c>
      <c r="M123" s="6">
        <f t="shared" si="103"/>
        <v>0</v>
      </c>
      <c r="N123" s="6">
        <f t="shared" si="103"/>
        <v>0</v>
      </c>
      <c r="O123" s="13"/>
      <c r="P123" s="13"/>
      <c r="Q123" s="13"/>
      <c r="R123" s="13"/>
      <c r="S123" s="13"/>
      <c r="T123" s="13"/>
      <c r="U123" s="13"/>
      <c r="V123" s="13"/>
    </row>
    <row r="124" spans="1:22" x14ac:dyDescent="0.25">
      <c r="A124" s="10" t="str">
        <f>$A$12</f>
        <v>Other functional expenses and deductions</v>
      </c>
      <c r="B124" s="6">
        <f t="shared" si="102"/>
        <v>0</v>
      </c>
      <c r="C124" s="6">
        <f t="shared" si="102"/>
        <v>0</v>
      </c>
      <c r="D124" s="6">
        <f t="shared" si="102"/>
        <v>0</v>
      </c>
      <c r="E124" s="6">
        <f t="shared" si="102"/>
        <v>0</v>
      </c>
      <c r="F124" s="6">
        <f t="shared" si="102"/>
        <v>0</v>
      </c>
      <c r="G124" s="6">
        <f t="shared" si="102"/>
        <v>0</v>
      </c>
      <c r="H124" s="13"/>
      <c r="I124" s="6">
        <f t="shared" si="103"/>
        <v>0</v>
      </c>
      <c r="J124" s="6">
        <f t="shared" si="103"/>
        <v>0</v>
      </c>
      <c r="K124" s="6">
        <f t="shared" si="103"/>
        <v>0</v>
      </c>
      <c r="L124" s="6">
        <f t="shared" si="103"/>
        <v>0</v>
      </c>
      <c r="M124" s="6">
        <f t="shared" si="103"/>
        <v>0</v>
      </c>
      <c r="N124" s="6">
        <f t="shared" si="103"/>
        <v>0</v>
      </c>
      <c r="O124" s="13"/>
      <c r="P124" s="13"/>
      <c r="Q124" s="13"/>
      <c r="R124" s="13"/>
      <c r="S124" s="13"/>
      <c r="T124" s="13"/>
      <c r="U124" s="13"/>
      <c r="V124" s="13"/>
    </row>
    <row r="125" spans="1:22" x14ac:dyDescent="0.25">
      <c r="A125" s="10" t="str">
        <f>$A$13</f>
        <v>Plant Operations</v>
      </c>
      <c r="B125" s="6">
        <f t="shared" si="102"/>
        <v>540000</v>
      </c>
      <c r="C125" s="6">
        <f t="shared" si="102"/>
        <v>551601.16363636369</v>
      </c>
      <c r="D125" s="6">
        <f t="shared" si="102"/>
        <v>563258.33489454549</v>
      </c>
      <c r="E125" s="6">
        <f t="shared" si="102"/>
        <v>575161.86103865027</v>
      </c>
      <c r="F125" s="6">
        <f t="shared" si="102"/>
        <v>587107.86437131732</v>
      </c>
      <c r="G125" s="6">
        <f t="shared" si="102"/>
        <v>599080.34859015071</v>
      </c>
      <c r="H125" s="13"/>
      <c r="I125" s="6">
        <f t="shared" si="103"/>
        <v>9000</v>
      </c>
      <c r="J125" s="6">
        <f t="shared" si="103"/>
        <v>9146.4000000000015</v>
      </c>
      <c r="K125" s="6">
        <f t="shared" si="103"/>
        <v>13112.724000000002</v>
      </c>
      <c r="L125" s="6">
        <f t="shared" si="103"/>
        <v>13326.024310400004</v>
      </c>
      <c r="M125" s="6">
        <f t="shared" si="103"/>
        <v>13540.321187824004</v>
      </c>
      <c r="N125" s="6">
        <f t="shared" si="103"/>
        <v>13755.482456014084</v>
      </c>
      <c r="O125" s="13"/>
      <c r="P125" s="13"/>
      <c r="Q125" s="13"/>
      <c r="R125" s="13"/>
      <c r="S125" s="13"/>
      <c r="T125" s="13"/>
      <c r="U125" s="13"/>
      <c r="V125" s="13"/>
    </row>
    <row r="126" spans="1:22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</row>
    <row r="127" spans="1:22" x14ac:dyDescent="0.25">
      <c r="A127" s="20" t="s">
        <v>65</v>
      </c>
      <c r="B127" s="151">
        <f>Summary!$B$32+1</f>
        <v>2022</v>
      </c>
      <c r="C127" s="7">
        <f>B127+1</f>
        <v>2023</v>
      </c>
      <c r="D127" s="7">
        <f>C127+1</f>
        <v>2024</v>
      </c>
      <c r="E127" s="7">
        <f>D127+1</f>
        <v>2025</v>
      </c>
      <c r="F127" s="7">
        <f>E127+1</f>
        <v>2026</v>
      </c>
      <c r="G127" s="7">
        <f>F127+1</f>
        <v>2027</v>
      </c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</row>
    <row r="128" spans="1:22" x14ac:dyDescent="0.25">
      <c r="A128" s="10" t="str">
        <f>$A$3</f>
        <v>Instruction</v>
      </c>
      <c r="B128" s="16"/>
      <c r="C128" s="26">
        <v>0</v>
      </c>
      <c r="D128" s="26">
        <v>50000</v>
      </c>
      <c r="E128" s="26">
        <v>0</v>
      </c>
      <c r="F128" s="26">
        <v>0</v>
      </c>
      <c r="G128" s="26">
        <v>0</v>
      </c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</row>
    <row r="129" spans="1:22" x14ac:dyDescent="0.25">
      <c r="A129" s="10" t="str">
        <f>$A$4</f>
        <v>Research</v>
      </c>
      <c r="B129" s="16"/>
      <c r="C129" s="26"/>
      <c r="D129" s="26"/>
      <c r="E129" s="26"/>
      <c r="F129" s="26"/>
      <c r="G129" s="26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</row>
    <row r="130" spans="1:22" x14ac:dyDescent="0.25">
      <c r="A130" s="10" t="str">
        <f>$A$5</f>
        <v>Public service</v>
      </c>
      <c r="B130" s="16"/>
      <c r="C130" s="26"/>
      <c r="D130" s="26"/>
      <c r="E130" s="26"/>
      <c r="F130" s="26"/>
      <c r="G130" s="26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</row>
    <row r="131" spans="1:22" x14ac:dyDescent="0.25">
      <c r="A131" s="10" t="str">
        <f>$A$6</f>
        <v>Academic support</v>
      </c>
      <c r="B131" s="16"/>
      <c r="C131" s="26">
        <v>0</v>
      </c>
      <c r="D131" s="26">
        <v>0</v>
      </c>
      <c r="E131" s="26">
        <v>0</v>
      </c>
      <c r="F131" s="26">
        <v>0</v>
      </c>
      <c r="G131" s="26">
        <v>0</v>
      </c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</row>
    <row r="132" spans="1:22" x14ac:dyDescent="0.25">
      <c r="A132" s="10" t="str">
        <f>$A$7</f>
        <v>Student services</v>
      </c>
      <c r="B132" s="16"/>
      <c r="C132" s="26">
        <v>0</v>
      </c>
      <c r="D132" s="26">
        <v>0</v>
      </c>
      <c r="E132" s="26">
        <v>0</v>
      </c>
      <c r="F132" s="26">
        <v>0</v>
      </c>
      <c r="G132" s="26">
        <v>0</v>
      </c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</row>
    <row r="133" spans="1:22" x14ac:dyDescent="0.25">
      <c r="A133" s="10" t="str">
        <f>$A$8</f>
        <v>Institutional support</v>
      </c>
      <c r="B133" s="16"/>
      <c r="C133" s="26">
        <v>0</v>
      </c>
      <c r="D133" s="26">
        <v>0</v>
      </c>
      <c r="E133" s="26">
        <v>0</v>
      </c>
      <c r="F133" s="26">
        <v>0</v>
      </c>
      <c r="G133" s="26">
        <v>0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</row>
    <row r="134" spans="1:22" x14ac:dyDescent="0.25">
      <c r="A134" s="10" t="str">
        <f>$A$9</f>
        <v>Auxiliary enterprises</v>
      </c>
      <c r="B134" s="16"/>
      <c r="C134" s="26"/>
      <c r="D134" s="26"/>
      <c r="E134" s="26"/>
      <c r="F134" s="26"/>
      <c r="G134" s="26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</row>
    <row r="135" spans="1:22" x14ac:dyDescent="0.25">
      <c r="A135" s="10" t="str">
        <f>$A$10</f>
        <v>Hospital services</v>
      </c>
      <c r="B135" s="16"/>
      <c r="C135" s="26"/>
      <c r="D135" s="26"/>
      <c r="E135" s="26"/>
      <c r="F135" s="26"/>
      <c r="G135" s="26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</row>
    <row r="136" spans="1:22" x14ac:dyDescent="0.25">
      <c r="A136" s="10" t="str">
        <f>$A$11</f>
        <v>Independent operatons</v>
      </c>
      <c r="B136" s="16"/>
      <c r="C136" s="26"/>
      <c r="D136" s="26"/>
      <c r="E136" s="26"/>
      <c r="F136" s="26"/>
      <c r="G136" s="26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</row>
    <row r="137" spans="1:22" x14ac:dyDescent="0.25">
      <c r="A137" s="10" t="str">
        <f>$A$12</f>
        <v>Other functional expenses and deductions</v>
      </c>
      <c r="B137" s="16"/>
      <c r="C137" s="26"/>
      <c r="D137" s="26"/>
      <c r="E137" s="26"/>
      <c r="F137" s="26"/>
      <c r="G137" s="26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</row>
    <row r="138" spans="1:22" x14ac:dyDescent="0.25">
      <c r="A138" s="10" t="str">
        <f>$A$13</f>
        <v>Plant Operations</v>
      </c>
      <c r="B138" s="16"/>
      <c r="C138" s="26">
        <v>0</v>
      </c>
      <c r="D138" s="26">
        <v>0</v>
      </c>
      <c r="E138" s="26">
        <v>200000</v>
      </c>
      <c r="F138" s="26">
        <v>0</v>
      </c>
      <c r="G138" s="26">
        <v>0</v>
      </c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</row>
    <row r="139" spans="1:22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</row>
    <row r="140" spans="1:22" x14ac:dyDescent="0.25">
      <c r="A140" s="13"/>
      <c r="B140" s="13"/>
      <c r="C140" s="13"/>
      <c r="D140" s="13"/>
      <c r="E140" s="13"/>
      <c r="F140" s="13"/>
      <c r="G140" s="8"/>
      <c r="H140" s="12" t="s">
        <v>34</v>
      </c>
      <c r="I140" s="8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</row>
    <row r="141" spans="1:22" x14ac:dyDescent="0.25">
      <c r="A141" s="20" t="s">
        <v>15</v>
      </c>
      <c r="B141" s="151">
        <f>Summary!$B$32+1</f>
        <v>2022</v>
      </c>
      <c r="C141" s="151">
        <f>B141+1</f>
        <v>2023</v>
      </c>
      <c r="D141" s="151">
        <f>C141+1</f>
        <v>2024</v>
      </c>
      <c r="E141" s="151">
        <f>D141+1</f>
        <v>2025</v>
      </c>
      <c r="F141" s="151">
        <f>E141+1</f>
        <v>2026</v>
      </c>
      <c r="G141" s="151">
        <f>F141+1</f>
        <v>2027</v>
      </c>
      <c r="H141" s="144">
        <f>Summary!B21</f>
        <v>0.02</v>
      </c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</row>
    <row r="142" spans="1:22" x14ac:dyDescent="0.25">
      <c r="A142" s="10" t="str">
        <f>$A$3</f>
        <v>Instruction</v>
      </c>
      <c r="B142" s="6">
        <f>H3</f>
        <v>1000000</v>
      </c>
      <c r="C142" s="6">
        <f t="shared" ref="C142:G146" si="104">B142*(1+$H$141+$O$3)+C128</f>
        <v>1040000</v>
      </c>
      <c r="D142" s="6">
        <f t="shared" si="104"/>
        <v>1131600</v>
      </c>
      <c r="E142" s="6">
        <f t="shared" si="104"/>
        <v>1176864</v>
      </c>
      <c r="F142" s="6">
        <f t="shared" si="104"/>
        <v>1223938.5600000001</v>
      </c>
      <c r="G142" s="6">
        <f t="shared" si="104"/>
        <v>1272896.1024000002</v>
      </c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</row>
    <row r="143" spans="1:22" x14ac:dyDescent="0.25">
      <c r="A143" s="10" t="str">
        <f>$A$4</f>
        <v>Research</v>
      </c>
      <c r="B143" s="6">
        <f>H4</f>
        <v>0</v>
      </c>
      <c r="C143" s="6">
        <f t="shared" si="104"/>
        <v>0</v>
      </c>
      <c r="D143" s="6">
        <f t="shared" si="104"/>
        <v>0</v>
      </c>
      <c r="E143" s="6">
        <f t="shared" si="104"/>
        <v>0</v>
      </c>
      <c r="F143" s="6">
        <f t="shared" si="104"/>
        <v>0</v>
      </c>
      <c r="G143" s="6">
        <f t="shared" si="104"/>
        <v>0</v>
      </c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</row>
    <row r="144" spans="1:22" x14ac:dyDescent="0.25">
      <c r="A144" s="10" t="str">
        <f>$A$5</f>
        <v>Public service</v>
      </c>
      <c r="B144" s="6">
        <f>H5</f>
        <v>0</v>
      </c>
      <c r="C144" s="6">
        <f t="shared" si="104"/>
        <v>0</v>
      </c>
      <c r="D144" s="6">
        <f t="shared" si="104"/>
        <v>0</v>
      </c>
      <c r="E144" s="6">
        <f t="shared" si="104"/>
        <v>0</v>
      </c>
      <c r="F144" s="6">
        <f t="shared" si="104"/>
        <v>0</v>
      </c>
      <c r="G144" s="6">
        <f t="shared" si="104"/>
        <v>0</v>
      </c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</row>
    <row r="145" spans="1:22" x14ac:dyDescent="0.25">
      <c r="A145" s="10" t="str">
        <f>$A$6</f>
        <v>Academic support</v>
      </c>
      <c r="B145" s="6">
        <f>H6</f>
        <v>500000</v>
      </c>
      <c r="C145" s="6">
        <f t="shared" si="104"/>
        <v>520000</v>
      </c>
      <c r="D145" s="6">
        <f t="shared" si="104"/>
        <v>540800</v>
      </c>
      <c r="E145" s="6">
        <f t="shared" si="104"/>
        <v>562432</v>
      </c>
      <c r="F145" s="6">
        <f t="shared" si="104"/>
        <v>584929.28000000003</v>
      </c>
      <c r="G145" s="6">
        <f t="shared" si="104"/>
        <v>608326.45120000001</v>
      </c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</row>
    <row r="146" spans="1:22" x14ac:dyDescent="0.25">
      <c r="A146" s="10" t="str">
        <f>$A$7</f>
        <v>Student services</v>
      </c>
      <c r="B146" s="6">
        <f>H7</f>
        <v>200000</v>
      </c>
      <c r="C146" s="6">
        <f t="shared" si="104"/>
        <v>208000</v>
      </c>
      <c r="D146" s="6">
        <f t="shared" si="104"/>
        <v>216320</v>
      </c>
      <c r="E146" s="6">
        <f t="shared" si="104"/>
        <v>224972.80000000002</v>
      </c>
      <c r="F146" s="6">
        <f t="shared" si="104"/>
        <v>233971.71200000003</v>
      </c>
      <c r="G146" s="6">
        <f t="shared" si="104"/>
        <v>243330.58048000003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</row>
    <row r="147" spans="1:22" x14ac:dyDescent="0.25">
      <c r="A147" s="10" t="str">
        <f>$A$8</f>
        <v>Institutional support</v>
      </c>
      <c r="B147" s="6">
        <f>H8+Cash!B26</f>
        <v>400000</v>
      </c>
      <c r="C147" s="6">
        <f>B147*(1+$H$141+$O$3)+C133+Cash!C26</f>
        <v>416000</v>
      </c>
      <c r="D147" s="6">
        <f>C147*(1+$H$141+$O$3)+D133+Cash!D26</f>
        <v>432640</v>
      </c>
      <c r="E147" s="6">
        <f>D147*(1+$H$141+$O$3)+E133+Cash!E26</f>
        <v>449945.60000000003</v>
      </c>
      <c r="F147" s="6">
        <f>E147*(1+$H$141+$O$3)+F133+Cash!F26</f>
        <v>467943.42400000006</v>
      </c>
      <c r="G147" s="6">
        <f>F147*(1+$H$141+$O$3)+G133+Cash!G26</f>
        <v>486661.16096000007</v>
      </c>
      <c r="H147" s="13" t="s">
        <v>133</v>
      </c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</row>
    <row r="148" spans="1:22" x14ac:dyDescent="0.25">
      <c r="A148" s="10" t="str">
        <f>$A$9</f>
        <v>Auxiliary enterprises</v>
      </c>
      <c r="B148" s="6">
        <f>H9</f>
        <v>200000</v>
      </c>
      <c r="C148" s="6">
        <f t="shared" ref="C148:G152" si="105">B148*(1+$H$141+$O$3)+C134</f>
        <v>208000</v>
      </c>
      <c r="D148" s="6">
        <f t="shared" si="105"/>
        <v>216320</v>
      </c>
      <c r="E148" s="6">
        <f t="shared" si="105"/>
        <v>224972.80000000002</v>
      </c>
      <c r="F148" s="6">
        <f t="shared" si="105"/>
        <v>233971.71200000003</v>
      </c>
      <c r="G148" s="6">
        <f t="shared" si="105"/>
        <v>243330.58048000003</v>
      </c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</row>
    <row r="149" spans="1:22" x14ac:dyDescent="0.25">
      <c r="A149" s="10" t="str">
        <f>$A$10</f>
        <v>Hospital services</v>
      </c>
      <c r="B149" s="6">
        <f>H10</f>
        <v>0</v>
      </c>
      <c r="C149" s="6">
        <f t="shared" si="105"/>
        <v>0</v>
      </c>
      <c r="D149" s="6">
        <f t="shared" si="105"/>
        <v>0</v>
      </c>
      <c r="E149" s="6">
        <f t="shared" si="105"/>
        <v>0</v>
      </c>
      <c r="F149" s="6">
        <f t="shared" si="105"/>
        <v>0</v>
      </c>
      <c r="G149" s="6">
        <f t="shared" si="105"/>
        <v>0</v>
      </c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</row>
    <row r="150" spans="1:22" x14ac:dyDescent="0.25">
      <c r="A150" s="10" t="str">
        <f>$A$11</f>
        <v>Independent operatons</v>
      </c>
      <c r="B150" s="6">
        <f>H11</f>
        <v>0</v>
      </c>
      <c r="C150" s="6">
        <f t="shared" si="105"/>
        <v>0</v>
      </c>
      <c r="D150" s="6">
        <f t="shared" si="105"/>
        <v>0</v>
      </c>
      <c r="E150" s="6">
        <f t="shared" si="105"/>
        <v>0</v>
      </c>
      <c r="F150" s="6">
        <f t="shared" si="105"/>
        <v>0</v>
      </c>
      <c r="G150" s="6">
        <f t="shared" si="105"/>
        <v>0</v>
      </c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</row>
    <row r="151" spans="1:22" x14ac:dyDescent="0.25">
      <c r="A151" s="10" t="str">
        <f>$A$12</f>
        <v>Other functional expenses and deductions</v>
      </c>
      <c r="B151" s="6">
        <f>H12</f>
        <v>0</v>
      </c>
      <c r="C151" s="6">
        <f t="shared" si="105"/>
        <v>0</v>
      </c>
      <c r="D151" s="6">
        <f t="shared" si="105"/>
        <v>0</v>
      </c>
      <c r="E151" s="6">
        <f t="shared" si="105"/>
        <v>0</v>
      </c>
      <c r="F151" s="6">
        <f t="shared" si="105"/>
        <v>0</v>
      </c>
      <c r="G151" s="6">
        <f t="shared" si="105"/>
        <v>0</v>
      </c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</row>
    <row r="152" spans="1:22" x14ac:dyDescent="0.25">
      <c r="A152" s="10" t="str">
        <f>$A$13</f>
        <v>Plant Operations</v>
      </c>
      <c r="B152" s="6">
        <f>H13</f>
        <v>1200000</v>
      </c>
      <c r="C152" s="6">
        <f t="shared" si="105"/>
        <v>1248000</v>
      </c>
      <c r="D152" s="6">
        <f t="shared" si="105"/>
        <v>1297920</v>
      </c>
      <c r="E152" s="6">
        <f t="shared" si="105"/>
        <v>1549836.8</v>
      </c>
      <c r="F152" s="6">
        <f t="shared" si="105"/>
        <v>1611830.2720000001</v>
      </c>
      <c r="G152" s="6">
        <f t="shared" si="105"/>
        <v>1676303.4828800003</v>
      </c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</row>
    <row r="153" spans="1:22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</row>
    <row r="154" spans="1:22" x14ac:dyDescent="0.25">
      <c r="A154" s="20" t="s">
        <v>182</v>
      </c>
      <c r="B154" s="151">
        <f>Summary!$B$32+1</f>
        <v>2022</v>
      </c>
      <c r="C154" s="151">
        <f>B154+1</f>
        <v>2023</v>
      </c>
      <c r="D154" s="151">
        <f t="shared" ref="D154:G154" si="106">C154+1</f>
        <v>2024</v>
      </c>
      <c r="E154" s="151">
        <f t="shared" si="106"/>
        <v>2025</v>
      </c>
      <c r="F154" s="151">
        <f t="shared" si="106"/>
        <v>2026</v>
      </c>
      <c r="G154" s="151">
        <f t="shared" si="106"/>
        <v>2027</v>
      </c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</row>
    <row r="155" spans="1:22" x14ac:dyDescent="0.25">
      <c r="A155" s="10" t="str">
        <f>$A$3</f>
        <v>Instruction</v>
      </c>
      <c r="B155" s="18">
        <f t="shared" ref="B155:B164" si="107">B82+B115+B142+I82+I115</f>
        <v>24049000</v>
      </c>
      <c r="C155" s="18">
        <f t="shared" ref="C155:C164" si="108">C82+C115+C142+J82+J115</f>
        <v>24288375.418181818</v>
      </c>
      <c r="D155" s="18">
        <f t="shared" ref="D155:D164" si="109">D82+D115+D142+K82+K115</f>
        <v>24564380.643447269</v>
      </c>
      <c r="E155" s="18">
        <f t="shared" ref="E155:E164" si="110">E82+E115+E142+L82+L115</f>
        <v>24778245.523493126</v>
      </c>
      <c r="F155" s="18">
        <f t="shared" ref="F155:F164" si="111">F82+F115+F142+M82+M115</f>
        <v>25779264.949624721</v>
      </c>
      <c r="G155" s="18">
        <f t="shared" ref="G155:G164" si="112">G82+G115+G142+N82+N115</f>
        <v>25155610.240868501</v>
      </c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</row>
    <row r="156" spans="1:22" x14ac:dyDescent="0.25">
      <c r="A156" s="10" t="str">
        <f>$A$4</f>
        <v>Research</v>
      </c>
      <c r="B156" s="18">
        <f t="shared" si="107"/>
        <v>2900000</v>
      </c>
      <c r="C156" s="18">
        <f t="shared" si="108"/>
        <v>2922244.3636363638</v>
      </c>
      <c r="D156" s="18">
        <f t="shared" si="109"/>
        <v>2943898.4369454547</v>
      </c>
      <c r="E156" s="18">
        <f t="shared" si="110"/>
        <v>2965965.5744583569</v>
      </c>
      <c r="F156" s="18">
        <f t="shared" si="111"/>
        <v>2987390.5705582565</v>
      </c>
      <c r="G156" s="18">
        <f t="shared" si="112"/>
        <v>3008117.3561011609</v>
      </c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</row>
    <row r="157" spans="1:22" x14ac:dyDescent="0.25">
      <c r="A157" s="10" t="str">
        <f>$A$5</f>
        <v>Public service</v>
      </c>
      <c r="B157" s="18">
        <f t="shared" si="107"/>
        <v>1740000</v>
      </c>
      <c r="C157" s="18">
        <f t="shared" si="108"/>
        <v>1753346.6181818182</v>
      </c>
      <c r="D157" s="18">
        <f t="shared" si="109"/>
        <v>1766339.0621672729</v>
      </c>
      <c r="E157" s="18">
        <f t="shared" si="110"/>
        <v>1779579.3446750143</v>
      </c>
      <c r="F157" s="18">
        <f t="shared" si="111"/>
        <v>1792434.3423349541</v>
      </c>
      <c r="G157" s="18">
        <f t="shared" si="112"/>
        <v>1804870.4136606965</v>
      </c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</row>
    <row r="158" spans="1:22" x14ac:dyDescent="0.25">
      <c r="A158" s="10" t="str">
        <f>$A$6</f>
        <v>Academic support</v>
      </c>
      <c r="B158" s="18">
        <f t="shared" si="107"/>
        <v>6261000</v>
      </c>
      <c r="C158" s="18">
        <f t="shared" si="108"/>
        <v>6378571.0545454547</v>
      </c>
      <c r="D158" s="18">
        <f t="shared" si="109"/>
        <v>6498696.9365818184</v>
      </c>
      <c r="E158" s="18">
        <f t="shared" si="110"/>
        <v>6622916.0628311867</v>
      </c>
      <c r="F158" s="18">
        <f t="shared" si="111"/>
        <v>6749900.6946174754</v>
      </c>
      <c r="G158" s="18">
        <f t="shared" si="112"/>
        <v>6879722.8263010401</v>
      </c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</row>
    <row r="159" spans="1:22" x14ac:dyDescent="0.25">
      <c r="A159" s="10" t="str">
        <f>$A$7</f>
        <v>Student services</v>
      </c>
      <c r="B159" s="18">
        <f t="shared" si="107"/>
        <v>3641000</v>
      </c>
      <c r="C159" s="18">
        <f t="shared" si="108"/>
        <v>3678798.1818181821</v>
      </c>
      <c r="D159" s="18">
        <f t="shared" si="109"/>
        <v>4037100.4939127271</v>
      </c>
      <c r="E159" s="18">
        <f t="shared" si="110"/>
        <v>4077979.9298496097</v>
      </c>
      <c r="F159" s="18">
        <f t="shared" si="111"/>
        <v>4118492.3375310702</v>
      </c>
      <c r="G159" s="18">
        <f t="shared" si="112"/>
        <v>4158582.4575690152</v>
      </c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</row>
    <row r="160" spans="1:22" x14ac:dyDescent="0.25">
      <c r="A160" s="10" t="str">
        <f>$A$8</f>
        <v>Institutional support</v>
      </c>
      <c r="B160" s="18">
        <f t="shared" si="107"/>
        <v>4269000</v>
      </c>
      <c r="C160" s="18">
        <f t="shared" si="108"/>
        <v>4315528.0727272732</v>
      </c>
      <c r="D160" s="18">
        <f t="shared" si="109"/>
        <v>4361936.2920290912</v>
      </c>
      <c r="E160" s="18">
        <f t="shared" si="110"/>
        <v>4409592.084866263</v>
      </c>
      <c r="F160" s="18">
        <f t="shared" si="111"/>
        <v>4457113.0872191573</v>
      </c>
      <c r="G160" s="18">
        <f t="shared" si="112"/>
        <v>4504453.0676990747</v>
      </c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</row>
    <row r="161" spans="1:22" x14ac:dyDescent="0.25">
      <c r="A161" s="10" t="str">
        <f>$A$9</f>
        <v>Auxiliary enterprises</v>
      </c>
      <c r="B161" s="18">
        <f t="shared" si="107"/>
        <v>1466000</v>
      </c>
      <c r="C161" s="18">
        <f t="shared" si="108"/>
        <v>1487114.9090909092</v>
      </c>
      <c r="D161" s="18">
        <f t="shared" si="109"/>
        <v>1508402.8270836365</v>
      </c>
      <c r="E161" s="18">
        <f t="shared" si="110"/>
        <v>1530327.4246191073</v>
      </c>
      <c r="F161" s="18">
        <f t="shared" si="111"/>
        <v>1552436.5691411733</v>
      </c>
      <c r="G161" s="18">
        <f t="shared" si="112"/>
        <v>1574723.162540613</v>
      </c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</row>
    <row r="162" spans="1:22" x14ac:dyDescent="0.25">
      <c r="A162" s="10" t="str">
        <f>$A$10</f>
        <v>Hospital services</v>
      </c>
      <c r="B162" s="18">
        <f t="shared" si="107"/>
        <v>0</v>
      </c>
      <c r="C162" s="18">
        <f t="shared" si="108"/>
        <v>0</v>
      </c>
      <c r="D162" s="18">
        <f t="shared" si="109"/>
        <v>0</v>
      </c>
      <c r="E162" s="18">
        <f t="shared" si="110"/>
        <v>0</v>
      </c>
      <c r="F162" s="18">
        <f t="shared" si="111"/>
        <v>0</v>
      </c>
      <c r="G162" s="18">
        <f t="shared" si="112"/>
        <v>0</v>
      </c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</row>
    <row r="163" spans="1:22" x14ac:dyDescent="0.25">
      <c r="A163" s="10" t="str">
        <f>$A$11</f>
        <v>Independent operatons</v>
      </c>
      <c r="B163" s="18">
        <f t="shared" si="107"/>
        <v>0</v>
      </c>
      <c r="C163" s="18">
        <f t="shared" si="108"/>
        <v>0</v>
      </c>
      <c r="D163" s="18">
        <f t="shared" si="109"/>
        <v>0</v>
      </c>
      <c r="E163" s="18">
        <f t="shared" si="110"/>
        <v>0</v>
      </c>
      <c r="F163" s="18">
        <f t="shared" si="111"/>
        <v>0</v>
      </c>
      <c r="G163" s="18">
        <f t="shared" si="112"/>
        <v>0</v>
      </c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</row>
    <row r="164" spans="1:22" x14ac:dyDescent="0.25">
      <c r="A164" s="10" t="str">
        <f>$A$12</f>
        <v>Other functional expenses and deductions</v>
      </c>
      <c r="B164" s="18">
        <f t="shared" si="107"/>
        <v>0</v>
      </c>
      <c r="C164" s="18">
        <f t="shared" si="108"/>
        <v>0</v>
      </c>
      <c r="D164" s="18">
        <f t="shared" si="109"/>
        <v>0</v>
      </c>
      <c r="E164" s="18">
        <f t="shared" si="110"/>
        <v>0</v>
      </c>
      <c r="F164" s="18">
        <f t="shared" si="111"/>
        <v>0</v>
      </c>
      <c r="G164" s="18">
        <f t="shared" si="112"/>
        <v>0</v>
      </c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</row>
    <row r="165" spans="1:22" x14ac:dyDescent="0.25">
      <c r="A165" s="10" t="str">
        <f>$A$13</f>
        <v>Plant Operations</v>
      </c>
      <c r="B165" s="19">
        <f>B92+B125+B152+I92+I125+Plant!C11-Plant!B11</f>
        <v>3836666.6666666679</v>
      </c>
      <c r="C165" s="19">
        <f>C92+C125+C152+J92+J125+Plant!D11-Plant!C11</f>
        <v>3920623.6848484846</v>
      </c>
      <c r="D165" s="19">
        <f>D92+D125+D152+K92+K125+Plant!E11-Plant!D11</f>
        <v>4048165.6928339396</v>
      </c>
      <c r="E165" s="19">
        <f>E92+E125+E152+L92+L125+Plant!F11-Plant!E11</f>
        <v>4503335.7454227488</v>
      </c>
      <c r="F165" s="19">
        <f>F92+F125+F152+M92+M125+Plant!G11-Plant!F11</f>
        <v>4601541.480734352</v>
      </c>
      <c r="G165" s="19">
        <f>G92+G125+G152+N92+N125+Plant!H11-Plant!G11</f>
        <v>4701817.5368901864</v>
      </c>
      <c r="H165" s="13" t="s">
        <v>238</v>
      </c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</row>
    <row r="166" spans="1:22" x14ac:dyDescent="0.25">
      <c r="A166" s="130" t="s">
        <v>177</v>
      </c>
      <c r="B166" s="6">
        <f t="shared" ref="B166:G166" si="113">SUM(B155:B165)</f>
        <v>48162666.666666672</v>
      </c>
      <c r="C166" s="6">
        <f t="shared" si="113"/>
        <v>48744602.303030297</v>
      </c>
      <c r="D166" s="6">
        <f t="shared" si="113"/>
        <v>49728920.385001205</v>
      </c>
      <c r="E166" s="6">
        <f t="shared" si="113"/>
        <v>50667941.690215416</v>
      </c>
      <c r="F166" s="6">
        <f t="shared" si="113"/>
        <v>52038574.031761155</v>
      </c>
      <c r="G166" s="6">
        <f t="shared" si="113"/>
        <v>51787897.061630294</v>
      </c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</row>
    <row r="167" spans="1:22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</row>
    <row r="168" spans="1:22" x14ac:dyDescent="0.25">
      <c r="A168" s="9" t="s">
        <v>22</v>
      </c>
      <c r="B168" s="151">
        <f>Summary!$B$32+1</f>
        <v>2022</v>
      </c>
      <c r="C168" s="151">
        <f>B168+1</f>
        <v>2023</v>
      </c>
      <c r="D168" s="151">
        <f t="shared" ref="D168" si="114">C168+1</f>
        <v>2024</v>
      </c>
      <c r="E168" s="151">
        <f t="shared" ref="E168" si="115">D168+1</f>
        <v>2025</v>
      </c>
      <c r="F168" s="151">
        <f t="shared" ref="F168" si="116">E168+1</f>
        <v>2026</v>
      </c>
      <c r="G168" s="151">
        <f t="shared" ref="G168" si="117">F168+1</f>
        <v>2027</v>
      </c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</row>
    <row r="169" spans="1:22" x14ac:dyDescent="0.25">
      <c r="A169" s="10" t="str">
        <f>$A$3</f>
        <v>Instruction</v>
      </c>
      <c r="B169" s="18">
        <f>B155+Plant!D23</f>
        <v>25693048.799049467</v>
      </c>
      <c r="C169" s="18">
        <f>C155+Plant!E23</f>
        <v>25968400.612082787</v>
      </c>
      <c r="D169" s="18">
        <f>D155+Plant!F23</f>
        <v>26299058.822158884</v>
      </c>
      <c r="E169" s="18">
        <f>E155+Plant!G23</f>
        <v>26707968.475008018</v>
      </c>
      <c r="F169" s="18">
        <f>F155+Plant!H23</f>
        <v>27751070.009184483</v>
      </c>
      <c r="G169" s="18">
        <f>G155+Plant!I23</f>
        <v>27170384.560992055</v>
      </c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</row>
    <row r="170" spans="1:22" x14ac:dyDescent="0.25">
      <c r="A170" s="10" t="str">
        <f>$A$4</f>
        <v>Research</v>
      </c>
      <c r="B170" s="18">
        <f>B156+Plant!D24</f>
        <v>3257135.6224337863</v>
      </c>
      <c r="C170" s="18">
        <f>C156+Plant!E24</f>
        <v>3287195.1142924041</v>
      </c>
      <c r="D170" s="18">
        <f>D156+Plant!F24</f>
        <v>3320721.4189850762</v>
      </c>
      <c r="E170" s="18">
        <f>E156+Plant!G24</f>
        <v>3385158.0022089751</v>
      </c>
      <c r="F170" s="18">
        <f>F156+Plant!H24</f>
        <v>3415724.466529659</v>
      </c>
      <c r="G170" s="18">
        <f>G156+Plant!I24</f>
        <v>3445785.4358424381</v>
      </c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</row>
    <row r="171" spans="1:22" x14ac:dyDescent="0.25">
      <c r="A171" s="10" t="str">
        <f>$A$5</f>
        <v>Public service</v>
      </c>
      <c r="B171" s="18">
        <f>B157+Plant!D25</f>
        <v>1923588.0401269384</v>
      </c>
      <c r="C171" s="18">
        <f>C157+Plant!E25</f>
        <v>1940952.0790966544</v>
      </c>
      <c r="D171" s="18">
        <f>D157+Plant!F25</f>
        <v>1960047.5258483742</v>
      </c>
      <c r="E171" s="18">
        <f>E157+Plant!G25</f>
        <v>1995068.1153620032</v>
      </c>
      <c r="F171" s="18">
        <f>F157+Plant!H25</f>
        <v>2012622.3480719209</v>
      </c>
      <c r="G171" s="18">
        <f>G157+Plant!I25</f>
        <v>2029856.7212103414</v>
      </c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</row>
    <row r="172" spans="1:22" x14ac:dyDescent="0.25">
      <c r="A172" s="10" t="str">
        <f>$A$6</f>
        <v>Academic support</v>
      </c>
      <c r="B172" s="18">
        <f>B158+Plant!D26</f>
        <v>6522851.6777211269</v>
      </c>
      <c r="C172" s="18">
        <f>C158+Plant!E26</f>
        <v>6646152.7807637248</v>
      </c>
      <c r="D172" s="18">
        <f>D158+Plant!F26</f>
        <v>6774983.3775101434</v>
      </c>
      <c r="E172" s="18">
        <f>E158+Plant!G26</f>
        <v>6930267.7622961216</v>
      </c>
      <c r="F172" s="18">
        <f>F158+Plant!H26</f>
        <v>7063954.9144698596</v>
      </c>
      <c r="G172" s="18">
        <f>G158+Plant!I26</f>
        <v>7200620.8654947793</v>
      </c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</row>
    <row r="173" spans="1:22" x14ac:dyDescent="0.25">
      <c r="A173" s="10" t="str">
        <f>$A$7</f>
        <v>Student services</v>
      </c>
      <c r="B173" s="18">
        <f>B159+Plant!D27</f>
        <v>4010963.1728556603</v>
      </c>
      <c r="C173" s="18">
        <f>C159+Plant!E27</f>
        <v>4056857.1856460525</v>
      </c>
      <c r="D173" s="18">
        <f>D159+Plant!F27</f>
        <v>4427458.1543730944</v>
      </c>
      <c r="E173" s="18">
        <f>E159+Plant!G27</f>
        <v>4512228.856212141</v>
      </c>
      <c r="F173" s="18">
        <f>F159+Plant!H27</f>
        <v>4562211.0741703613</v>
      </c>
      <c r="G173" s="18">
        <f>G159+Plant!I27</f>
        <v>4611970.6419659602</v>
      </c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</row>
    <row r="174" spans="1:22" x14ac:dyDescent="0.25">
      <c r="A174" s="10" t="str">
        <f>$A$8</f>
        <v>Institutional support</v>
      </c>
      <c r="B174" s="18">
        <f>B160+Plant!D28</f>
        <v>4803301.2317827009</v>
      </c>
      <c r="C174" s="18">
        <f>C160+Plant!E28</f>
        <v>4861521.3127370849</v>
      </c>
      <c r="D174" s="18">
        <f>D160+Plant!F28</f>
        <v>4925691.2658279557</v>
      </c>
      <c r="E174" s="18">
        <f>E160+Plant!G28</f>
        <v>5036734.8744172035</v>
      </c>
      <c r="F174" s="18">
        <f>F160+Plant!H28</f>
        <v>5097932.1874595284</v>
      </c>
      <c r="G174" s="18">
        <f>G160+Plant!I28</f>
        <v>5159236.7953040963</v>
      </c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</row>
    <row r="175" spans="1:22" x14ac:dyDescent="0.25">
      <c r="A175" s="10" t="str">
        <f>$A$9</f>
        <v>Auxiliary enterprises</v>
      </c>
      <c r="B175" s="18">
        <f>B161+Plant!D29</f>
        <v>1951778.1226969876</v>
      </c>
      <c r="C175" s="18">
        <f>C161+Plant!E29</f>
        <v>1983523.2184115979</v>
      </c>
      <c r="D175" s="18">
        <f>D161+Plant!F29</f>
        <v>2020959.820297682</v>
      </c>
      <c r="E175" s="18">
        <f>E161+Plant!G29</f>
        <v>2100515.6047109496</v>
      </c>
      <c r="F175" s="18">
        <f>F161+Plant!H29</f>
        <v>2135059.0318753477</v>
      </c>
      <c r="G175" s="18">
        <f>G161+Plant!I29</f>
        <v>2170042.0408206186</v>
      </c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</row>
    <row r="176" spans="1:22" x14ac:dyDescent="0.25">
      <c r="A176" s="10" t="s">
        <v>345</v>
      </c>
      <c r="B176" s="18">
        <f>ScholTuit!C35</f>
        <v>5953369.8792240815</v>
      </c>
      <c r="C176" s="18">
        <f>ScholTuit!D35</f>
        <v>5918286.9379908871</v>
      </c>
      <c r="D176" s="18">
        <f>ScholTuit!E35</f>
        <v>6028998.1689885054</v>
      </c>
      <c r="E176" s="18">
        <f>ScholTuit!F35</f>
        <v>5786957.1529785478</v>
      </c>
      <c r="F176" s="18">
        <f>ScholTuit!G35</f>
        <v>6146252.3059565732</v>
      </c>
      <c r="G176" s="18">
        <f>ScholTuit!H35</f>
        <v>6124187.4199557593</v>
      </c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</row>
    <row r="177" spans="1:22" x14ac:dyDescent="0.25">
      <c r="A177" s="10" t="str">
        <f>$A$10</f>
        <v>Hospital services</v>
      </c>
      <c r="B177" s="18">
        <f>B162+Plant!D30</f>
        <v>0</v>
      </c>
      <c r="C177" s="18">
        <f>C162+Plant!E30</f>
        <v>0</v>
      </c>
      <c r="D177" s="18">
        <f>D162+Plant!F30</f>
        <v>0</v>
      </c>
      <c r="E177" s="18">
        <f>E162+Plant!G30</f>
        <v>0</v>
      </c>
      <c r="F177" s="18">
        <f>F162+Plant!H30</f>
        <v>0</v>
      </c>
      <c r="G177" s="18">
        <f>G162+Plant!I30</f>
        <v>0</v>
      </c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</row>
    <row r="178" spans="1:22" x14ac:dyDescent="0.25">
      <c r="A178" s="10" t="str">
        <f>$A$11</f>
        <v>Independent operatons</v>
      </c>
      <c r="B178" s="18">
        <f>B163+Plant!D31</f>
        <v>0</v>
      </c>
      <c r="C178" s="18">
        <f>C163+Plant!E31</f>
        <v>0</v>
      </c>
      <c r="D178" s="18">
        <f>D163+Plant!F31</f>
        <v>0</v>
      </c>
      <c r="E178" s="18">
        <f>E163+Plant!G31</f>
        <v>0</v>
      </c>
      <c r="F178" s="18">
        <f>F163+Plant!H31</f>
        <v>0</v>
      </c>
      <c r="G178" s="18">
        <f>G163+Plant!I31</f>
        <v>0</v>
      </c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</row>
    <row r="179" spans="1:22" x14ac:dyDescent="0.25">
      <c r="A179" s="10" t="str">
        <f>$A$12</f>
        <v>Other functional expenses and deductions</v>
      </c>
      <c r="B179" s="19">
        <f>B164+Plant!D32</f>
        <v>0</v>
      </c>
      <c r="C179" s="19">
        <f>C164+Plant!E32</f>
        <v>0</v>
      </c>
      <c r="D179" s="19">
        <f>D164+Plant!F32</f>
        <v>0</v>
      </c>
      <c r="E179" s="19">
        <f>E164+Plant!G32</f>
        <v>0</v>
      </c>
      <c r="F179" s="19">
        <f>F164+Plant!H32</f>
        <v>0</v>
      </c>
      <c r="G179" s="19">
        <f>G164+Plant!I32</f>
        <v>0</v>
      </c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</row>
    <row r="180" spans="1:22" x14ac:dyDescent="0.25">
      <c r="A180" s="130" t="s">
        <v>177</v>
      </c>
      <c r="B180" s="6">
        <f>SUM(B169:B179)</f>
        <v>54116036.545890749</v>
      </c>
      <c r="C180" s="6">
        <f t="shared" ref="C180:G180" si="118">SUM(C169:C179)</f>
        <v>54662889.241021186</v>
      </c>
      <c r="D180" s="6">
        <f t="shared" si="118"/>
        <v>55757918.553989708</v>
      </c>
      <c r="E180" s="6">
        <f t="shared" si="118"/>
        <v>56454898.843193956</v>
      </c>
      <c r="F180" s="6">
        <f t="shared" si="118"/>
        <v>58184826.337717734</v>
      </c>
      <c r="G180" s="6">
        <f t="shared" si="118"/>
        <v>57912084.481586054</v>
      </c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</row>
    <row r="181" spans="1:22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</row>
    <row r="182" spans="1:22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</row>
    <row r="183" spans="1:22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</row>
    <row r="184" spans="1:22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</row>
    <row r="185" spans="1:22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</row>
    <row r="186" spans="1:22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</row>
    <row r="187" spans="1:22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</row>
    <row r="188" spans="1:22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</row>
    <row r="189" spans="1:22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</row>
    <row r="190" spans="1:22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</row>
    <row r="191" spans="1:22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Summary</vt:lpstr>
      <vt:lpstr>Enrollment</vt:lpstr>
      <vt:lpstr>ScholTuit</vt:lpstr>
      <vt:lpstr>StuFlow</vt:lpstr>
      <vt:lpstr>BalSheet</vt:lpstr>
      <vt:lpstr>Endow</vt:lpstr>
      <vt:lpstr>Plant</vt:lpstr>
      <vt:lpstr>Cash</vt:lpstr>
      <vt:lpstr>Staffing</vt:lpstr>
      <vt:lpstr>KPIs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Dickmeyer</dc:creator>
  <cp:lastModifiedBy>Nathan Dickmeyer</cp:lastModifiedBy>
  <dcterms:created xsi:type="dcterms:W3CDTF">2021-02-18T21:10:06Z</dcterms:created>
  <dcterms:modified xsi:type="dcterms:W3CDTF">2022-01-25T16:53:54Z</dcterms:modified>
</cp:coreProperties>
</file>